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FS24sv01\健康福祉部\福祉指導監査課\05 指定居宅サービス等関係\17 報酬改定\R7_報酬改定\070405 体制表の確定版につきまして（再々修正版です）\HP掲載用\"/>
    </mc:Choice>
  </mc:AlternateContent>
  <xr:revisionPtr revIDLastSave="0" documentId="13_ncr:1_{3C4C7B78-2B4B-44A1-9512-E3D556820576}" xr6:coauthVersionLast="47" xr6:coauthVersionMax="47" xr10:uidLastSave="{00000000-0000-0000-0000-000000000000}"/>
  <bookViews>
    <workbookView xWindow="-120" yWindow="-120" windowWidth="20730" windowHeight="11160" tabRatio="935" xr2:uid="{31320AF1-06BD-4B8E-86DB-F1C07B4AA7D5}"/>
  </bookViews>
  <sheets>
    <sheet name="介護医療院" sheetId="491" r:id="rId1"/>
    <sheet name="訪リハ・通リハ・短期" sheetId="492" r:id="rId2"/>
    <sheet name="予防訪リハ・予防通リハ・予防短期" sheetId="493" r:id="rId3"/>
    <sheet name="別紙●24" sheetId="66" state="hidden" r:id="rId4"/>
  </sheets>
  <externalReferences>
    <externalReference r:id="rId5"/>
    <externalReference r:id="rId6"/>
    <externalReference r:id="rId7"/>
    <externalReference r:id="rId8"/>
  </externalReferences>
  <definedNames>
    <definedName name="ｋ">#N/A</definedName>
    <definedName name="_xlnm.Print_Area" localSheetId="0">介護医療院!$A$1:$AF$187</definedName>
    <definedName name="_xlnm.Print_Area" localSheetId="3">#N/A</definedName>
    <definedName name="_xlnm.Print_Area" localSheetId="1">訪リハ・通リハ・短期!$A$1:$AF$208</definedName>
    <definedName name="_xlnm.Print_Area" localSheetId="2">予防訪リハ・予防通リハ・予防短期!$A$1:$AF$186</definedName>
    <definedName name="_xlnm.Print_Titles" localSheetId="0">介護医療院!$1:$10</definedName>
    <definedName name="_xlnm.Print_Titles" localSheetId="1">訪リハ・通リハ・短期!$1:$10</definedName>
    <definedName name="_xlnm.Print_Titles" localSheetId="2">予防訪リハ・予防通リハ・予防短期!$1:$10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46" i="492" l="1"/>
  <c r="AI45" i="492"/>
  <c r="AI44" i="492"/>
  <c r="AI43" i="492"/>
  <c r="AI42" i="492"/>
  <c r="AI41" i="492"/>
  <c r="AI40" i="492"/>
  <c r="AI39" i="492"/>
  <c r="AI38" i="492"/>
  <c r="AI37" i="492"/>
  <c r="AI35" i="492"/>
  <c r="AI34" i="492"/>
  <c r="AI33" i="492"/>
  <c r="AI32" i="492"/>
  <c r="AI31" i="492"/>
  <c r="AI28" i="492"/>
  <c r="AI27" i="492"/>
  <c r="AI26" i="492"/>
  <c r="AG25" i="492"/>
  <c r="AJ24" i="492"/>
  <c r="AI24" i="492"/>
  <c r="AG24" i="492"/>
  <c r="AI23" i="492"/>
  <c r="AI22" i="492"/>
  <c r="AI21" i="492"/>
  <c r="AI19" i="492"/>
  <c r="AI18" i="492"/>
  <c r="AI16" i="492"/>
  <c r="AI14" i="492"/>
  <c r="AI13" i="492"/>
  <c r="AI12" i="492"/>
  <c r="AG12" i="492"/>
  <c r="AJ11" i="492"/>
  <c r="AI11" i="492"/>
  <c r="AG11" i="492"/>
  <c r="AI185" i="493"/>
  <c r="AI183" i="493"/>
  <c r="AI182" i="493"/>
  <c r="AI181" i="493"/>
  <c r="AI180" i="493"/>
  <c r="AI179" i="493"/>
  <c r="AI178" i="493"/>
  <c r="AI177" i="493"/>
  <c r="AI176" i="493"/>
  <c r="AI175" i="493"/>
  <c r="AI174" i="493"/>
  <c r="AI173" i="493"/>
  <c r="AI172" i="493"/>
  <c r="AI171" i="493"/>
  <c r="AI170" i="493"/>
  <c r="AI168" i="493"/>
  <c r="AG167" i="493"/>
  <c r="AJ166" i="493"/>
  <c r="AI166" i="493"/>
  <c r="AH166" i="493"/>
  <c r="AG166" i="493"/>
  <c r="AI165" i="493"/>
  <c r="AI163" i="493"/>
  <c r="AI162" i="493"/>
  <c r="AI161" i="493"/>
  <c r="AI159" i="493"/>
  <c r="AI157" i="493"/>
  <c r="AI156" i="493"/>
  <c r="AI155" i="493"/>
  <c r="AI154" i="493"/>
  <c r="AI153" i="493"/>
  <c r="AI152" i="493"/>
  <c r="AI151" i="493"/>
  <c r="AI150" i="493"/>
  <c r="AI149" i="493"/>
  <c r="AI148" i="493"/>
  <c r="AI147" i="493"/>
  <c r="AI146" i="493"/>
  <c r="AI144" i="493"/>
  <c r="AG143" i="493"/>
  <c r="AJ142" i="493"/>
  <c r="AI142" i="493"/>
  <c r="AG142" i="493"/>
  <c r="AI141" i="493"/>
  <c r="AI139" i="493"/>
  <c r="AI138" i="493"/>
  <c r="AI137" i="493"/>
  <c r="AI135" i="493"/>
  <c r="AI133" i="493"/>
  <c r="AI132" i="493"/>
  <c r="AI131" i="493"/>
  <c r="AI130" i="493"/>
  <c r="AI129" i="493"/>
  <c r="AI128" i="493"/>
  <c r="AI127" i="493"/>
  <c r="AI126" i="493"/>
  <c r="AI125" i="493"/>
  <c r="AI124" i="493"/>
  <c r="AI123" i="493"/>
  <c r="AI122" i="493"/>
  <c r="AI120" i="493"/>
  <c r="AG119" i="493"/>
  <c r="AJ118" i="493"/>
  <c r="AI118" i="493"/>
  <c r="AH118" i="493"/>
  <c r="AG118" i="493"/>
  <c r="AI117" i="493"/>
  <c r="AI115" i="493"/>
  <c r="AI114" i="493"/>
  <c r="AI113" i="493"/>
  <c r="AI112" i="493"/>
  <c r="AI111" i="493"/>
  <c r="AI110" i="493"/>
  <c r="AI109" i="493"/>
  <c r="AI108" i="493"/>
  <c r="AI107" i="493"/>
  <c r="AI106" i="493"/>
  <c r="AI105" i="493"/>
  <c r="AI104" i="493"/>
  <c r="AI103" i="493"/>
  <c r="AI102" i="493"/>
  <c r="AI100" i="493"/>
  <c r="AG99" i="493"/>
  <c r="AJ98" i="493"/>
  <c r="AI98" i="493"/>
  <c r="AH98" i="493"/>
  <c r="AG98" i="493"/>
  <c r="AI97" i="493"/>
  <c r="AI95" i="493"/>
  <c r="AI94" i="493"/>
  <c r="AI93" i="493"/>
  <c r="AI92" i="493"/>
  <c r="AI91" i="493"/>
  <c r="AI90" i="493"/>
  <c r="AI89" i="493"/>
  <c r="AI88" i="493"/>
  <c r="AI87" i="493"/>
  <c r="AI86" i="493"/>
  <c r="AI85" i="493"/>
  <c r="AI84" i="493"/>
  <c r="AI83" i="493"/>
  <c r="AI81" i="493"/>
  <c r="AG80" i="493"/>
  <c r="AJ79" i="493"/>
  <c r="AI79" i="493"/>
  <c r="AH79" i="493"/>
  <c r="AG79" i="493"/>
  <c r="AI78" i="493"/>
  <c r="AI76" i="493"/>
  <c r="AI75" i="493"/>
  <c r="AI74" i="493"/>
  <c r="AI72" i="493"/>
  <c r="AI70" i="493"/>
  <c r="AI69" i="493"/>
  <c r="AI68" i="493"/>
  <c r="AI67" i="493"/>
  <c r="AI66" i="493"/>
  <c r="AI65" i="493"/>
  <c r="AI64" i="493"/>
  <c r="AI63" i="493"/>
  <c r="AI62" i="493"/>
  <c r="AI61" i="493"/>
  <c r="AI60" i="493"/>
  <c r="AI59" i="493"/>
  <c r="AI57" i="493"/>
  <c r="AG56" i="493"/>
  <c r="AJ55" i="493"/>
  <c r="AI55" i="493"/>
  <c r="AH55" i="493"/>
  <c r="AG55" i="493"/>
  <c r="AI54" i="493"/>
  <c r="AI52" i="493"/>
  <c r="AI51" i="493"/>
  <c r="AI50" i="493"/>
  <c r="AI48" i="493"/>
  <c r="AI46" i="493"/>
  <c r="AI45" i="493"/>
  <c r="AI44" i="493"/>
  <c r="AI43" i="493"/>
  <c r="AI42" i="493"/>
  <c r="AI41" i="493"/>
  <c r="AI40" i="493"/>
  <c r="AI39" i="493"/>
  <c r="AI38" i="493"/>
  <c r="AI37" i="493"/>
  <c r="AI36" i="493"/>
  <c r="AI34" i="493"/>
  <c r="AG33" i="493"/>
  <c r="AJ32" i="493"/>
  <c r="AI32" i="493"/>
  <c r="AH32" i="493"/>
  <c r="AG32" i="493"/>
  <c r="AI31" i="493"/>
  <c r="AI30" i="493"/>
  <c r="AI29" i="493"/>
  <c r="AI28" i="493"/>
  <c r="AI27" i="493"/>
  <c r="AI26" i="493"/>
  <c r="AI25" i="493"/>
  <c r="AI24" i="493"/>
  <c r="AI23" i="493"/>
  <c r="AI22" i="493"/>
  <c r="AG21" i="493"/>
  <c r="AJ20" i="493"/>
  <c r="AI20" i="493"/>
  <c r="AG20" i="493"/>
  <c r="AI19" i="493"/>
  <c r="AI18" i="493"/>
  <c r="AI16" i="493"/>
  <c r="AI14" i="493"/>
  <c r="AI13" i="493"/>
  <c r="AI12" i="493"/>
  <c r="AG12" i="493"/>
  <c r="AJ11" i="493"/>
  <c r="AI11" i="493"/>
  <c r="AG11" i="493"/>
  <c r="AG9" i="493"/>
  <c r="AI207" i="492"/>
  <c r="AI205" i="492"/>
  <c r="AI204" i="492"/>
  <c r="AI203" i="492"/>
  <c r="AI202" i="492"/>
  <c r="AI201" i="492"/>
  <c r="AI200" i="492"/>
  <c r="AI199" i="492"/>
  <c r="AI198" i="492"/>
  <c r="AI197" i="492"/>
  <c r="AI196" i="492"/>
  <c r="AI195" i="492"/>
  <c r="AI194" i="492"/>
  <c r="AI193" i="492"/>
  <c r="AI192" i="492"/>
  <c r="AI191" i="492"/>
  <c r="AI189" i="492"/>
  <c r="AG188" i="492"/>
  <c r="AJ187" i="492"/>
  <c r="AI187" i="492"/>
  <c r="AH187" i="492"/>
  <c r="AG187" i="492"/>
  <c r="AI186" i="492"/>
  <c r="AI184" i="492"/>
  <c r="AI183" i="492"/>
  <c r="AI182" i="492"/>
  <c r="AI180" i="492"/>
  <c r="AI178" i="492"/>
  <c r="AI177" i="492"/>
  <c r="AI176" i="492"/>
  <c r="AI175" i="492"/>
  <c r="AI174" i="492"/>
  <c r="AI173" i="492"/>
  <c r="AI172" i="492"/>
  <c r="AI171" i="492"/>
  <c r="AI170" i="492"/>
  <c r="AI169" i="492"/>
  <c r="AI168" i="492"/>
  <c r="AI167" i="492"/>
  <c r="AI166" i="492"/>
  <c r="AI164" i="492"/>
  <c r="AG163" i="492"/>
  <c r="AJ162" i="492"/>
  <c r="AI162" i="492"/>
  <c r="AG162" i="492"/>
  <c r="AI161" i="492"/>
  <c r="AI159" i="492"/>
  <c r="AI158" i="492"/>
  <c r="AI157" i="492"/>
  <c r="AI155" i="492"/>
  <c r="AI153" i="492"/>
  <c r="AI152" i="492"/>
  <c r="AI151" i="492"/>
  <c r="AI150" i="492"/>
  <c r="AI149" i="492"/>
  <c r="AI148" i="492"/>
  <c r="AI147" i="492"/>
  <c r="AI146" i="492"/>
  <c r="AI145" i="492"/>
  <c r="AI144" i="492"/>
  <c r="AI143" i="492"/>
  <c r="AI142" i="492"/>
  <c r="AI141" i="492"/>
  <c r="AI139" i="492"/>
  <c r="AG138" i="492"/>
  <c r="AJ137" i="492"/>
  <c r="AI137" i="492"/>
  <c r="AH137" i="492"/>
  <c r="AG137" i="492"/>
  <c r="AI136" i="492"/>
  <c r="AI134" i="492"/>
  <c r="AI133" i="492"/>
  <c r="AI132" i="492"/>
  <c r="AI131" i="492"/>
  <c r="AI130" i="492"/>
  <c r="AI129" i="492"/>
  <c r="AI128" i="492"/>
  <c r="AI127" i="492"/>
  <c r="AI126" i="492"/>
  <c r="AI125" i="492"/>
  <c r="AI124" i="492"/>
  <c r="AI123" i="492"/>
  <c r="AI122" i="492"/>
  <c r="AI121" i="492"/>
  <c r="AI120" i="492"/>
  <c r="AI118" i="492"/>
  <c r="AG117" i="492"/>
  <c r="AJ116" i="492"/>
  <c r="AI116" i="492"/>
  <c r="AH116" i="492"/>
  <c r="AG116" i="492"/>
  <c r="AI115" i="492"/>
  <c r="AI113" i="492"/>
  <c r="AI112" i="492"/>
  <c r="AI111" i="492"/>
  <c r="AI110" i="492"/>
  <c r="AI109" i="492"/>
  <c r="AI108" i="492"/>
  <c r="AI107" i="492"/>
  <c r="AI106" i="492"/>
  <c r="AI105" i="492"/>
  <c r="AI104" i="492"/>
  <c r="AI103" i="492"/>
  <c r="AI102" i="492"/>
  <c r="AI101" i="492"/>
  <c r="AI100" i="492"/>
  <c r="AI98" i="492"/>
  <c r="AG97" i="492"/>
  <c r="AJ96" i="492"/>
  <c r="AI96" i="492"/>
  <c r="AH96" i="492"/>
  <c r="AG96" i="492"/>
  <c r="AI95" i="492"/>
  <c r="AI93" i="492"/>
  <c r="AI92" i="492"/>
  <c r="AI91" i="492"/>
  <c r="AI89" i="492"/>
  <c r="AI87" i="492"/>
  <c r="AI86" i="492"/>
  <c r="AI85" i="492"/>
  <c r="AI84" i="492"/>
  <c r="AI83" i="492"/>
  <c r="AI82" i="492"/>
  <c r="AI81" i="492"/>
  <c r="AI80" i="492"/>
  <c r="AI79" i="492"/>
  <c r="AI78" i="492"/>
  <c r="AI77" i="492"/>
  <c r="AI76" i="492"/>
  <c r="AI75" i="492"/>
  <c r="AI73" i="492"/>
  <c r="AG72" i="492"/>
  <c r="AJ71" i="492"/>
  <c r="AI71" i="492"/>
  <c r="AH71" i="492"/>
  <c r="AG71" i="492"/>
  <c r="AI70" i="492"/>
  <c r="AI68" i="492"/>
  <c r="AI67" i="492"/>
  <c r="AI66" i="492"/>
  <c r="AI64" i="492"/>
  <c r="AI62" i="492"/>
  <c r="AI61" i="492"/>
  <c r="AI60" i="492"/>
  <c r="AI59" i="492"/>
  <c r="AI58" i="492"/>
  <c r="AI57" i="492"/>
  <c r="AI56" i="492"/>
  <c r="AI55" i="492"/>
  <c r="AI54" i="492"/>
  <c r="AI53" i="492"/>
  <c r="AI52" i="492"/>
  <c r="AI51" i="492"/>
  <c r="AI49" i="492"/>
  <c r="AG48" i="492"/>
  <c r="AJ47" i="492"/>
  <c r="AI47" i="492"/>
  <c r="AH47" i="492"/>
  <c r="AG47" i="492"/>
  <c r="AG9" i="492"/>
  <c r="AI23" i="491" l="1"/>
  <c r="AI179" i="491"/>
  <c r="AI151" i="491"/>
  <c r="AI116" i="491"/>
  <c r="AI85" i="491"/>
  <c r="AI61" i="491"/>
  <c r="AI34" i="491"/>
  <c r="AH69" i="491"/>
  <c r="AG70" i="491"/>
  <c r="AI81" i="491"/>
  <c r="AI92" i="491"/>
  <c r="AI91" i="491"/>
  <c r="AI90" i="491"/>
  <c r="AI89" i="491"/>
  <c r="AI88" i="491"/>
  <c r="AI87" i="491"/>
  <c r="AI86" i="491"/>
  <c r="AI84" i="491"/>
  <c r="AI83" i="491"/>
  <c r="AI82" i="491"/>
  <c r="AI80" i="491"/>
  <c r="AI79" i="491"/>
  <c r="AI77" i="491"/>
  <c r="AI76" i="491"/>
  <c r="AI75" i="491"/>
  <c r="AI74" i="491"/>
  <c r="AI73" i="491"/>
  <c r="AI71" i="491"/>
  <c r="AJ69" i="491"/>
  <c r="AI69" i="491"/>
  <c r="AG69" i="491"/>
  <c r="AG12" i="491"/>
  <c r="AG11" i="491"/>
  <c r="AI186" i="491"/>
  <c r="AI185" i="491"/>
  <c r="AI184" i="491"/>
  <c r="AI183" i="491"/>
  <c r="AI182" i="491"/>
  <c r="AI181" i="491"/>
  <c r="AI180" i="491"/>
  <c r="AI178" i="491"/>
  <c r="AI177" i="491"/>
  <c r="AI176" i="491"/>
  <c r="AI175" i="491"/>
  <c r="AI174" i="491"/>
  <c r="AI172" i="491"/>
  <c r="AI171" i="491"/>
  <c r="AI170" i="491"/>
  <c r="AI169" i="491"/>
  <c r="AI168" i="491"/>
  <c r="AI167" i="491"/>
  <c r="AI165" i="491"/>
  <c r="AG164" i="491"/>
  <c r="AJ163" i="491"/>
  <c r="AI163" i="491"/>
  <c r="AH163" i="491"/>
  <c r="AG163" i="491"/>
  <c r="AI162" i="491"/>
  <c r="AI161" i="491"/>
  <c r="AI160" i="491"/>
  <c r="AI159" i="491"/>
  <c r="AI158" i="491"/>
  <c r="AI157" i="491"/>
  <c r="AI156" i="491"/>
  <c r="AI155" i="491"/>
  <c r="AI154" i="491"/>
  <c r="AI153" i="491"/>
  <c r="AI152" i="491"/>
  <c r="AI150" i="491"/>
  <c r="AI148" i="491"/>
  <c r="AI146" i="491"/>
  <c r="AI144" i="491"/>
  <c r="AI143" i="491"/>
  <c r="AI142" i="491"/>
  <c r="AI141" i="491"/>
  <c r="AI140" i="491"/>
  <c r="AI139" i="491"/>
  <c r="AI137" i="491"/>
  <c r="AI136" i="491"/>
  <c r="AI135" i="491"/>
  <c r="AI134" i="491"/>
  <c r="AI133" i="491"/>
  <c r="AI132" i="491"/>
  <c r="AI130" i="491"/>
  <c r="AG129" i="491"/>
  <c r="AJ128" i="491"/>
  <c r="AI128" i="491"/>
  <c r="AG128" i="491"/>
  <c r="AI127" i="491"/>
  <c r="AI126" i="491"/>
  <c r="AI125" i="491"/>
  <c r="AI124" i="491"/>
  <c r="AI123" i="491"/>
  <c r="AI122" i="491"/>
  <c r="AI121" i="491"/>
  <c r="AI120" i="491"/>
  <c r="AI119" i="491"/>
  <c r="AI118" i="491"/>
  <c r="AI117" i="491"/>
  <c r="AI115" i="491"/>
  <c r="AI113" i="491"/>
  <c r="AI111" i="491"/>
  <c r="AI109" i="491"/>
  <c r="AI108" i="491"/>
  <c r="AI107" i="491"/>
  <c r="AI106" i="491"/>
  <c r="AI105" i="491"/>
  <c r="AI104" i="491"/>
  <c r="AI102" i="491"/>
  <c r="AI101" i="491"/>
  <c r="AI100" i="491"/>
  <c r="AI99" i="491"/>
  <c r="AI98" i="491"/>
  <c r="AI97" i="491"/>
  <c r="AI95" i="491"/>
  <c r="AG94" i="491"/>
  <c r="AJ93" i="491"/>
  <c r="AI93" i="491"/>
  <c r="AH93" i="491"/>
  <c r="AG93" i="491"/>
  <c r="AI68" i="491"/>
  <c r="AI67" i="491"/>
  <c r="AI66" i="491"/>
  <c r="AI65" i="491"/>
  <c r="AI64" i="491"/>
  <c r="AI63" i="491"/>
  <c r="AI62" i="491"/>
  <c r="AI60" i="491"/>
  <c r="AI59" i="491"/>
  <c r="AI58" i="491"/>
  <c r="AI57" i="491"/>
  <c r="AI56" i="491"/>
  <c r="AI54" i="491"/>
  <c r="AI53" i="491"/>
  <c r="AI52" i="491"/>
  <c r="AI51" i="491"/>
  <c r="AI50" i="491"/>
  <c r="AI48" i="491"/>
  <c r="AG47" i="491"/>
  <c r="AJ46" i="491"/>
  <c r="AI46" i="491"/>
  <c r="AH46" i="491"/>
  <c r="AG46" i="491"/>
  <c r="AI45" i="491"/>
  <c r="AI44" i="491"/>
  <c r="AI43" i="491"/>
  <c r="AI42" i="491"/>
  <c r="AI41" i="491"/>
  <c r="AI40" i="491"/>
  <c r="AI39" i="491"/>
  <c r="AI38" i="491"/>
  <c r="AI37" i="491"/>
  <c r="AI36" i="491"/>
  <c r="AI35" i="491"/>
  <c r="AI33" i="491"/>
  <c r="AI31" i="491"/>
  <c r="AI29" i="491"/>
  <c r="AI27" i="491"/>
  <c r="AI26" i="491"/>
  <c r="AI25" i="491"/>
  <c r="AI24" i="491"/>
  <c r="AI22" i="491"/>
  <c r="AI21" i="491"/>
  <c r="AI19" i="491"/>
  <c r="AI18" i="491"/>
  <c r="AI17" i="491"/>
  <c r="AI16" i="491"/>
  <c r="AI15" i="491"/>
  <c r="AI13" i="491"/>
  <c r="AJ11" i="491"/>
  <c r="AI11" i="491"/>
  <c r="AH11" i="491"/>
  <c r="AG9" i="491"/>
</calcChain>
</file>

<file path=xl/sharedStrings.xml><?xml version="1.0" encoding="utf-8"?>
<sst xmlns="http://schemas.openxmlformats.org/spreadsheetml/2006/main" count="3559" uniqueCount="288">
  <si>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</si>
  <si>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</si>
  <si>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</si>
  <si>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</si>
  <si>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</si>
  <si>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</si>
  <si>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</si>
  <si>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</si>
  <si>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</si>
  <si>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</si>
  <si>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</si>
  <si>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</si>
  <si>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</si>
  <si>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</si>
  <si>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</si>
  <si>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</si>
  <si>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</si>
  <si>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</si>
  <si>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</si>
  <si>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</si>
  <si>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</si>
  <si>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</si>
  <si>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</si>
  <si>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</si>
  <si>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</si>
  <si>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</si>
  <si>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</si>
  <si>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</si>
  <si>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</si>
  <si>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</si>
  <si>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</si>
  <si>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</si>
  <si>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</si>
  <si>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</si>
  <si>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</si>
  <si>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</si>
  <si>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</si>
  <si>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</si>
  <si>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</si>
  <si>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</si>
  <si>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</si>
  <si>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</si>
  <si>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</si>
  <si>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</si>
  <si>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</si>
  <si>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</si>
  <si>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</si>
  <si>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</si>
  <si>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</si>
  <si>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</si>
  <si>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</si>
  <si>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</si>
  <si>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</si>
  <si>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</si>
  <si>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</si>
  <si>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</si>
  <si>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</si>
  <si>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</si>
  <si>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</si>
  <si>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</si>
  <si>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</si>
  <si>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</si>
  <si>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</si>
  <si>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</si>
  <si>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</si>
  <si>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</si>
  <si>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</si>
  <si>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</si>
  <si>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</si>
  <si>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</si>
  <si>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</si>
  <si>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</si>
  <si>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</si>
  <si>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</si>
  <si>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</si>
  <si>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</si>
  <si>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</si>
  <si>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</si>
  <si>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</si>
  <si>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</si>
  <si>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</si>
  <si>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</si>
  <si>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</si>
  <si>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</si>
  <si>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</si>
  <si>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</si>
  <si>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</si>
  <si>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</si>
  <si>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送迎体制</t>
  </si>
  <si>
    <t>夜間勤務条件基準</t>
  </si>
  <si>
    <t>ユニットケア体制</t>
    <rPh sb="6" eb="8">
      <t>タイセイ</t>
    </rPh>
    <phoneticPr fontId="1"/>
  </si>
  <si>
    <t>ﾘﾊﾋﾞﾘﾃｰｼｮﾝ提供体制</t>
  </si>
  <si>
    <t>身体拘束廃止取組の有無</t>
  </si>
  <si>
    <t>若年性認知症利用者受入加算</t>
    <rPh sb="6" eb="9">
      <t>リヨウシャ</t>
    </rPh>
    <rPh sb="9" eb="11">
      <t>ウケイレ</t>
    </rPh>
    <rPh sb="11" eb="13">
      <t>カサン</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</si>
  <si>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</si>
  <si>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</si>
  <si>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</si>
  <si>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</si>
  <si>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</si>
  <si>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</si>
  <si>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</si>
  <si>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</si>
  <si>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</si>
  <si>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</si>
  <si>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</si>
  <si>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</si>
  <si>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</si>
  <si>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</si>
  <si>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</si>
  <si>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</si>
  <si>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</si>
  <si>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</si>
  <si>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</si>
  <si>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</si>
  <si>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</si>
  <si>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</si>
  <si>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そ　 　　の　 　　他　　 　該　　 　当　　 　す 　　　る 　　　体 　　　制 　　　等</t>
    <phoneticPr fontId="1"/>
  </si>
  <si>
    <t>職員の欠員による減算の状況</t>
    <phoneticPr fontId="1"/>
  </si>
  <si>
    <t>夜間勤務条件基準</t>
    <phoneticPr fontId="1"/>
  </si>
  <si>
    <t>短期入所療養介護</t>
    <phoneticPr fontId="1"/>
  </si>
  <si>
    <t>送迎体制</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</si>
  <si>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</si>
  <si>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</si>
  <si>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</si>
  <si>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</si>
  <si>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</si>
  <si>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</si>
  <si>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</si>
  <si>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</si>
  <si>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2A</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</si>
  <si>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</si>
  <si>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</si>
  <si>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</si>
  <si>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</si>
  <si>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</si>
  <si>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</si>
  <si>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</si>
  <si>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</si>
  <si>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</si>
  <si>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</si>
  <si>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</si>
  <si>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</si>
  <si>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</si>
  <si>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</si>
  <si>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</si>
  <si>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</si>
  <si>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６ 加算Ⅰ</t>
    <phoneticPr fontId="1"/>
  </si>
  <si>
    <t>５ 加算Ⅱ</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</si>
  <si>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</si>
  <si>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</si>
  <si>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</si>
  <si>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</si>
  <si>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</si>
  <si>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</si>
  <si>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</si>
  <si>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</si>
  <si>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</si>
  <si>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</si>
  <si>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</si>
  <si>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</si>
  <si>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</si>
  <si>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</si>
  <si>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</si>
  <si>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</si>
  <si>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</si>
  <si>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</si>
  <si>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</si>
  <si>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</si>
  <si>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</si>
  <si>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</si>
  <si>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</si>
  <si>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</si>
  <si>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</si>
  <si>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</si>
  <si>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</si>
  <si>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</si>
  <si>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</si>
  <si>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</si>
  <si>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</si>
  <si>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</si>
  <si>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</si>
  <si>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</si>
  <si>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</si>
  <si>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</si>
  <si>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</si>
  <si>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</si>
  <si>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</si>
  <si>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</si>
  <si>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</si>
  <si>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</si>
  <si>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介護医療院サービス</t>
  </si>
  <si>
    <t>４　ユニット型Ⅰ型介護医療院</t>
  </si>
  <si>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</si>
  <si>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</si>
  <si>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</si>
  <si>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</si>
  <si>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</si>
  <si>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</si>
  <si>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</si>
  <si>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生産性向上推進体制加算</t>
    <phoneticPr fontId="1"/>
  </si>
  <si>
    <t>認知症チームケア推進加算</t>
    <phoneticPr fontId="1"/>
  </si>
  <si>
    <t>業務継続計画策定の有無</t>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</si>
  <si>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</si>
  <si>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</si>
  <si>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</si>
  <si>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</si>
  <si>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</si>
  <si>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</si>
  <si>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</si>
  <si>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</si>
  <si>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</si>
  <si>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介護予防短期入所療養介護</t>
    <rPh sb="0" eb="2">
      <t>カイゴ</t>
    </rPh>
    <rPh sb="2" eb="4">
      <t>ヨボウ</t>
    </rPh>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</si>
  <si>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</si>
  <si>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</si>
  <si>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</si>
  <si>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</si>
  <si>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</si>
  <si>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</si>
  <si>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</si>
  <si>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</si>
  <si>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非該当</t>
    <phoneticPr fontId="1"/>
  </si>
  <si>
    <t>２ 該当</t>
    <phoneticPr fontId="1"/>
  </si>
  <si>
    <t>室料相当額控除</t>
    <phoneticPr fontId="1"/>
  </si>
  <si>
    <t>月</t>
    <rPh sb="0" eb="1">
      <t>ガツ</t>
    </rPh>
    <phoneticPr fontId="1"/>
  </si>
  <si>
    <t>日</t>
    <rPh sb="0" eb="1">
      <t>ニチ</t>
    </rPh>
    <phoneticPr fontId="1"/>
  </si>
  <si>
    <t>■</t>
  </si>
  <si>
    <t>（別紙１－１）</t>
    <rPh sb="1" eb="3">
      <t>ベッシ</t>
    </rPh>
    <phoneticPr fontId="1"/>
  </si>
  <si>
    <t>事業所名</t>
  </si>
  <si>
    <t>　２７</t>
    <phoneticPr fontId="1"/>
  </si>
  <si>
    <t>１　新規　　２　変更　　３　終了</t>
    <phoneticPr fontId="1"/>
  </si>
  <si>
    <t>異動年月日</t>
    <rPh sb="0" eb="2">
      <t>イドウ</t>
    </rPh>
    <rPh sb="2" eb="5">
      <t>ネンガッピ</t>
    </rPh>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</si>
  <si>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</si>
  <si>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</si>
  <si>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提供サービス</t>
  </si>
  <si>
    <t>そ　 　　の　 　　他　　 　該　　 　当　　 　す 　　　る 　　　体 　　　制 　　　等</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</si>
  <si>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</si>
  <si>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</si>
  <si>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</si>
  <si>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</si>
  <si>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</si>
  <si>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３ 加算Ⅰ</t>
    <phoneticPr fontId="1"/>
  </si>
  <si>
    <t>４ 加算Ⅱ</t>
    <phoneticPr fontId="1"/>
  </si>
  <si>
    <t>１　病院又は診療所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</si>
  <si>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</si>
  <si>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</si>
  <si>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２　介護老人保健施設</t>
  </si>
  <si>
    <t>リハビリテーション</t>
  </si>
  <si>
    <t>３　介護医療院</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</si>
  <si>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</si>
  <si>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</si>
  <si>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</si>
  <si>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</si>
  <si>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</si>
  <si>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</si>
  <si>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</si>
  <si>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</si>
  <si>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栄養アセスメント・栄養改善体制</t>
    <phoneticPr fontId="1"/>
  </si>
  <si>
    <t>口腔機能向上加算</t>
    <rPh sb="6" eb="8">
      <t>カサン</t>
    </rPh>
    <phoneticPr fontId="1"/>
  </si>
  <si>
    <t>一体的サービス提供加算</t>
    <rPh sb="0" eb="2">
      <t>イッタイ</t>
    </rPh>
    <rPh sb="9" eb="11">
      <t>カサン</t>
    </rPh>
    <phoneticPr fontId="1"/>
  </si>
  <si>
    <t>５ 加算Ⅰ</t>
    <phoneticPr fontId="1"/>
  </si>
  <si>
    <t>６ 加算Ⅲ</t>
    <phoneticPr fontId="1"/>
  </si>
  <si>
    <t>１　病院又は診療所</t>
    <phoneticPr fontId="1"/>
  </si>
  <si>
    <t>訪問リハビリテーション</t>
  </si>
  <si>
    <t>３　介護医療院</t>
    <phoneticPr fontId="1"/>
  </si>
  <si>
    <t>ﾘﾊﾋﾞﾘﾃｰｼｮﾝマネジメント加算</t>
    <rPh sb="16" eb="18">
      <t>カサン</t>
    </rPh>
    <phoneticPr fontId="2"/>
  </si>
  <si>
    <t>３ 加算イ</t>
    <phoneticPr fontId="1"/>
  </si>
  <si>
    <t>６ 加算ロ</t>
    <phoneticPr fontId="1"/>
  </si>
  <si>
    <t>ﾘﾊﾋﾞﾘﾃｰｼｮﾝマネジメント加算に係る医師による説明</t>
    <phoneticPr fontId="1"/>
  </si>
  <si>
    <t>移行支援加算</t>
    <rPh sb="0" eb="2">
      <t>イコウ</t>
    </rPh>
    <rPh sb="4" eb="6">
      <t>カサン</t>
    </rPh>
    <phoneticPr fontId="2"/>
  </si>
  <si>
    <t>サービス提供体制強化加算</t>
    <rPh sb="4" eb="6">
      <t>テイキョウ</t>
    </rPh>
    <rPh sb="6" eb="8">
      <t>タイセイ</t>
    </rPh>
    <rPh sb="8" eb="10">
      <t>キョウカ</t>
    </rPh>
    <rPh sb="10" eb="12">
      <t>カサン</t>
    </rPh>
    <phoneticPr fontId="2"/>
  </si>
  <si>
    <t>感染症又は災害の発生を理由とする利用者数の減少が一定以上生じている場合の対応</t>
    <phoneticPr fontId="1"/>
  </si>
  <si>
    <t>４　通常規模の事業所(病院・診療所)</t>
  </si>
  <si>
    <t>時間延長サービス体制</t>
    <rPh sb="0" eb="2">
      <t>ジカン</t>
    </rPh>
    <rPh sb="2" eb="4">
      <t>エンチョウ</t>
    </rPh>
    <rPh sb="8" eb="10">
      <t>タイセイ</t>
    </rPh>
    <phoneticPr fontId="1"/>
  </si>
  <si>
    <t>７　通常規模の事業所(介護老人保健施設)</t>
  </si>
  <si>
    <t>ﾘﾊﾋﾞﾘﾃｰｼｮﾝ提供体制加算</t>
    <rPh sb="10" eb="12">
      <t>テイキョウ</t>
    </rPh>
    <rPh sb="12" eb="14">
      <t>タイセイ</t>
    </rPh>
    <rPh sb="14" eb="16">
      <t>カサン</t>
    </rPh>
    <phoneticPr fontId="1"/>
  </si>
  <si>
    <t>Ａ　通常規模の事業所(介護医療院)</t>
  </si>
  <si>
    <t>入浴介助加算</t>
    <phoneticPr fontId="1"/>
  </si>
  <si>
    <t>Ｄ　大規模の事業所(病院・診療所)</t>
    <phoneticPr fontId="1"/>
  </si>
  <si>
    <t>８ 加算ハ</t>
    <rPh sb="2" eb="4">
      <t>カサン</t>
    </rPh>
    <phoneticPr fontId="1"/>
  </si>
  <si>
    <t>通所リハビリテーション</t>
    <phoneticPr fontId="1"/>
  </si>
  <si>
    <t>Ｅ　大規模の事業所(介護老人保健施設)</t>
    <phoneticPr fontId="1"/>
  </si>
  <si>
    <t>Ｆ　大規模の事業所(介護医療院)</t>
    <phoneticPr fontId="1"/>
  </si>
  <si>
    <t>Ｇ　大規模の事業所(特例)(病院・診療所)</t>
    <rPh sb="10" eb="12">
      <t>トクレイ</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</si>
  <si>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</si>
  <si>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Ｈ　大規模の事業所(特例)(介護老人保健施設)</t>
    <phoneticPr fontId="1"/>
  </si>
  <si>
    <t>生活行為向上ﾘﾊﾋﾞﾘﾃｰｼｮﾝ実施加算</t>
    <rPh sb="0" eb="2">
      <t>セイカツ</t>
    </rPh>
    <rPh sb="2" eb="4">
      <t>コウイ</t>
    </rPh>
    <rPh sb="4" eb="6">
      <t>コウジョウ</t>
    </rPh>
    <rPh sb="16" eb="18">
      <t>ジッシ</t>
    </rPh>
    <rPh sb="19" eb="20">
      <t>カサン</t>
    </rPh>
    <phoneticPr fontId="1"/>
  </si>
  <si>
    <t>Ｊ　大規模の事業所(特例)(介護医療院)</t>
    <phoneticPr fontId="1"/>
  </si>
  <si>
    <t>中重度者ケア体制加算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</si>
</sst>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游ゴシック Light"/>
      <family val="3"/>
      <charset val="128"/>
    </font>
    <font>
      <sz val="16"/>
      <name val="HGSｺﾞｼｯｸM"/>
      <family val="3"/>
      <charset val="128"/>
    </font>
    <font>
      <sz val="11"/>
      <name val="ＭＳ 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thin">
        <color indexed="64"/>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s>
  <cellStyleXfs count="5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0"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1" applyNumberFormat="0" applyFont="0" applyAlignment="0" applyProtection="0">
      <alignment vertical="center"/>
    </xf>
    <xf numFmtId="0" fontId="15" fillId="0" borderId="62" applyNumberFormat="0" applyFill="0" applyAlignment="0" applyProtection="0">
      <alignment vertical="center"/>
    </xf>
    <xf numFmtId="0" fontId="16" fillId="30" borderId="0" applyNumberFormat="0" applyBorder="0" applyAlignment="0" applyProtection="0">
      <alignment vertical="center"/>
    </xf>
    <xf numFmtId="0" fontId="17" fillId="31" borderId="63"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4" applyNumberFormat="0" applyFill="0" applyAlignment="0" applyProtection="0">
      <alignment vertical="center"/>
    </xf>
    <xf numFmtId="0" fontId="20" fillId="0" borderId="65" applyNumberFormat="0" applyFill="0" applyAlignment="0" applyProtection="0">
      <alignment vertical="center"/>
    </xf>
    <xf numFmtId="0" fontId="21" fillId="0" borderId="66" applyNumberFormat="0" applyFill="0" applyAlignment="0" applyProtection="0">
      <alignment vertical="center"/>
    </xf>
    <xf numFmtId="0" fontId="21" fillId="0" borderId="0" applyNumberFormat="0" applyFill="0" applyBorder="0" applyAlignment="0" applyProtection="0">
      <alignment vertical="center"/>
    </xf>
    <xf numFmtId="0" fontId="22" fillId="0" borderId="67" applyNumberFormat="0" applyFill="0" applyAlignment="0" applyProtection="0">
      <alignment vertical="center"/>
    </xf>
    <xf numFmtId="0" fontId="23" fillId="31" borderId="68" applyNumberFormat="0" applyAlignment="0" applyProtection="0">
      <alignment vertical="center"/>
    </xf>
    <xf numFmtId="0" fontId="24" fillId="0" borderId="0" applyNumberFormat="0" applyFill="0" applyBorder="0" applyAlignment="0" applyProtection="0">
      <alignment vertical="center"/>
    </xf>
    <xf numFmtId="0" fontId="25" fillId="2" borderId="63"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54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38" xfId="0" applyFont="1" applyFill="1" applyBorder="1" applyAlignment="1">
      <alignment horizontal="left" vertical="center" wrapText="1"/>
    </xf>
    <xf numFmtId="0" fontId="3" fillId="0" borderId="13" xfId="0" applyFont="1" applyFill="1" applyBorder="1" applyAlignment="1">
      <alignment vertical="center"/>
    </xf>
    <xf numFmtId="0" fontId="7" fillId="0" borderId="13" xfId="0" applyFont="1" applyFill="1" applyBorder="1" applyAlignment="1">
      <alignment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vertical="top"/>
    </xf>
    <xf numFmtId="0" fontId="3" fillId="0" borderId="40" xfId="0" applyFont="1" applyFill="1" applyBorder="1" applyAlignment="1">
      <alignment vertical="top"/>
    </xf>
    <xf numFmtId="0" fontId="3" fillId="0" borderId="17" xfId="0" applyFont="1" applyFill="1" applyBorder="1" applyAlignment="1">
      <alignment vertical="center"/>
    </xf>
    <xf numFmtId="0" fontId="3" fillId="0" borderId="40" xfId="0" applyFont="1" applyFill="1" applyBorder="1" applyAlignment="1">
      <alignment horizontal="center" vertical="center"/>
    </xf>
    <xf numFmtId="0" fontId="3" fillId="0" borderId="42" xfId="0" applyFont="1" applyFill="1" applyBorder="1" applyAlignment="1">
      <alignment vertical="center"/>
    </xf>
    <xf numFmtId="0" fontId="3" fillId="0" borderId="17" xfId="0" applyFont="1" applyFill="1" applyBorder="1" applyAlignment="1">
      <alignment horizontal="left" vertical="center"/>
    </xf>
    <xf numFmtId="0" fontId="3" fillId="0" borderId="40"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0" xfId="0" applyFont="1" applyFill="1" applyBorder="1" applyAlignment="1">
      <alignment vertical="center"/>
    </xf>
    <xf numFmtId="0" fontId="3" fillId="0" borderId="31" xfId="0" applyFont="1" applyFill="1" applyBorder="1" applyAlignment="1">
      <alignment vertical="center"/>
    </xf>
    <xf numFmtId="0" fontId="3" fillId="0" borderId="36" xfId="0" applyFont="1" applyFill="1" applyBorder="1" applyAlignment="1">
      <alignment vertical="center"/>
    </xf>
    <xf numFmtId="0" fontId="3" fillId="0" borderId="36" xfId="0" applyFont="1" applyFill="1" applyBorder="1" applyAlignment="1">
      <alignment horizontal="lef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28" fillId="0" borderId="7" xfId="0" applyFont="1" applyFill="1" applyBorder="1" applyAlignment="1">
      <alignment horizontal="left" vertical="center"/>
    </xf>
    <xf numFmtId="0" fontId="8" fillId="0" borderId="7" xfId="0" applyFont="1" applyFill="1" applyBorder="1" applyAlignment="1">
      <alignment horizontal="right" vertical="center"/>
    </xf>
    <xf numFmtId="0" fontId="8" fillId="0" borderId="8" xfId="0" applyFont="1" applyFill="1" applyBorder="1" applyAlignment="1">
      <alignment horizontal="right" vertical="center"/>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17" xfId="0" applyFont="1" applyFill="1" applyBorder="1" applyAlignment="1">
      <alignment vertical="top"/>
    </xf>
    <xf numFmtId="0" fontId="0" fillId="0" borderId="31"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2"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Alignment="1">
      <alignment horizontal="left" vertical="center"/>
    </xf>
    <xf numFmtId="0" fontId="3" fillId="0" borderId="27" xfId="0" applyFont="1" applyFill="1" applyBorder="1" applyAlignment="1">
      <alignment vertical="center"/>
    </xf>
    <xf numFmtId="0" fontId="3" fillId="0" borderId="37" xfId="0" applyFont="1" applyFill="1" applyBorder="1" applyAlignment="1">
      <alignment vertical="center"/>
    </xf>
    <xf numFmtId="0" fontId="0" fillId="0" borderId="0" xfId="0" applyFont="1" applyFill="1" applyAlignment="1">
      <alignment horizontal="center" vertical="center"/>
    </xf>
    <xf numFmtId="0" fontId="3" fillId="0" borderId="34" xfId="0" applyFont="1" applyFill="1" applyBorder="1" applyAlignment="1">
      <alignment vertical="center"/>
    </xf>
    <xf numFmtId="0" fontId="0" fillId="0" borderId="36" xfId="0" applyFont="1" applyFill="1" applyBorder="1" applyAlignment="1">
      <alignment vertical="center"/>
    </xf>
    <xf numFmtId="0" fontId="0" fillId="0" borderId="27"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3" fillId="0" borderId="5" xfId="0" applyFont="1" applyFill="1" applyBorder="1" applyAlignment="1">
      <alignment vertical="top"/>
    </xf>
    <xf numFmtId="0" fontId="3" fillId="0" borderId="15" xfId="0" applyFont="1" applyFill="1" applyBorder="1" applyAlignment="1">
      <alignment vertical="top"/>
    </xf>
    <xf numFmtId="0" fontId="0" fillId="0" borderId="36"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3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 xfId="0" applyFont="1" applyFill="1" applyBorder="1" applyAlignment="1">
      <alignment horizontal="left" vertical="center"/>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37" xfId="0" applyFont="1" applyFill="1" applyBorder="1" applyAlignment="1">
      <alignment horizontal="left" vertical="center"/>
    </xf>
    <xf numFmtId="0" fontId="3" fillId="0" borderId="28" xfId="0" applyFont="1" applyFill="1" applyBorder="1" applyAlignment="1">
      <alignment vertical="center" wrapText="1"/>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xf>
    <xf numFmtId="0" fontId="0" fillId="0" borderId="36" xfId="0" applyFont="1" applyFill="1" applyBorder="1" applyAlignment="1">
      <alignment horizontal="center" vertical="center"/>
    </xf>
    <xf numFmtId="0" fontId="3" fillId="0" borderId="42"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4" xfId="0" applyFont="1" applyFill="1" applyBorder="1" applyAlignment="1">
      <alignment horizontal="left" vertical="center"/>
    </xf>
    <xf numFmtId="0" fontId="7" fillId="0" borderId="27" xfId="0" applyFont="1" applyFill="1" applyBorder="1" applyAlignment="1">
      <alignment vertical="center"/>
    </xf>
    <xf numFmtId="0" fontId="27"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0" xfId="0" applyFont="1" applyFill="1" applyBorder="1" applyAlignment="1">
      <alignment horizontal="center"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15" xfId="0" applyFont="1" applyFill="1" applyBorder="1" applyAlignment="1">
      <alignment horizontal="center" vertical="center"/>
    </xf>
    <xf numFmtId="0" fontId="0" fillId="0" borderId="4" xfId="0" applyFont="1" applyFill="1" applyBorder="1" applyAlignment="1">
      <alignment vertical="center"/>
    </xf>
    <xf numFmtId="0" fontId="28" fillId="0" borderId="0" xfId="0" applyFont="1" applyFill="1" applyAlignment="1">
      <alignment horizontal="center" vertical="center"/>
    </xf>
    <xf numFmtId="0" fontId="3" fillId="0" borderId="30"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0" xfId="0" applyFont="1" applyFill="1" applyAlignment="1">
      <alignment horizontal="center" vertical="center"/>
    </xf>
    <xf numFmtId="0" fontId="3" fillId="0" borderId="4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33"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0" xfId="0" applyFont="1" applyAlignment="1">
      <alignment horizontal="center" vertical="center"/>
    </xf>
    <xf numFmtId="0" fontId="28" fillId="0" borderId="0" xfId="0" applyFont="1" applyAlignment="1">
      <alignment horizontal="left" vertical="center"/>
    </xf>
    <xf numFmtId="0" fontId="28" fillId="0" borderId="7" xfId="0" applyFont="1" applyBorder="1" applyAlignment="1">
      <alignment horizontal="lef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29" fillId="0" borderId="0" xfId="0" applyFont="1" applyAlignment="1">
      <alignment horizontal="left" vertical="center"/>
    </xf>
    <xf numFmtId="0" fontId="0" fillId="0" borderId="4" xfId="0" applyBorder="1" applyAlignment="1" applyProtection="1">
      <alignment horizontal="center" vertical="center"/>
      <protection locked="0"/>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6" xfId="0" applyBorder="1" applyAlignment="1" applyProtection="1">
      <alignment horizontal="center" vertical="center"/>
      <protection locked="0"/>
    </xf>
    <xf numFmtId="0" fontId="3" fillId="0" borderId="5" xfId="0" applyFont="1" applyBorder="1" applyAlignment="1">
      <alignment vertical="center"/>
    </xf>
    <xf numFmtId="0" fontId="3" fillId="0" borderId="5" xfId="0" applyFont="1" applyBorder="1" applyAlignment="1">
      <alignment vertical="center" wrapText="1"/>
    </xf>
    <xf numFmtId="0" fontId="0" fillId="0" borderId="5" xfId="0" applyBorder="1" applyAlignment="1" applyProtection="1">
      <alignment horizontal="center" vertical="center"/>
      <protection locked="0"/>
    </xf>
    <xf numFmtId="0" fontId="3" fillId="0" borderId="15" xfId="0" applyFont="1" applyBorder="1" applyAlignment="1">
      <alignment vertical="center" wrapText="1"/>
    </xf>
    <xf numFmtId="0" fontId="3" fillId="0" borderId="17" xfId="0" applyFont="1" applyBorder="1" applyAlignment="1">
      <alignment vertical="center"/>
    </xf>
    <xf numFmtId="0" fontId="3" fillId="0" borderId="40" xfId="0" applyFont="1" applyBorder="1" applyAlignment="1">
      <alignment horizontal="center" vertical="center"/>
    </xf>
    <xf numFmtId="0" fontId="3" fillId="0" borderId="42" xfId="0" applyFont="1" applyBorder="1" applyAlignment="1">
      <alignment vertical="center"/>
    </xf>
    <xf numFmtId="0" fontId="3" fillId="0" borderId="40" xfId="0" applyFont="1" applyBorder="1" applyAlignment="1">
      <alignment vertical="center" wrapText="1"/>
    </xf>
    <xf numFmtId="0" fontId="3" fillId="0" borderId="40" xfId="0" applyFont="1" applyBorder="1" applyAlignment="1">
      <alignment vertical="center"/>
    </xf>
    <xf numFmtId="0" fontId="3" fillId="0" borderId="69" xfId="0" applyFont="1" applyBorder="1" applyAlignment="1">
      <alignment vertical="center"/>
    </xf>
    <xf numFmtId="0" fontId="0" fillId="0" borderId="35" xfId="0" applyBorder="1" applyAlignment="1" applyProtection="1">
      <alignment horizontal="center" vertical="center"/>
      <protection locked="0"/>
    </xf>
    <xf numFmtId="0" fontId="3" fillId="0" borderId="36" xfId="0" applyFont="1" applyBorder="1" applyAlignment="1">
      <alignment vertical="center"/>
    </xf>
    <xf numFmtId="0" fontId="0" fillId="0" borderId="36" xfId="0" applyBorder="1" applyAlignment="1">
      <alignment vertical="center"/>
    </xf>
    <xf numFmtId="0" fontId="3" fillId="0" borderId="36" xfId="0" applyFont="1" applyBorder="1" applyAlignment="1">
      <alignment horizontal="left" vertical="center" wrapText="1"/>
    </xf>
    <xf numFmtId="0" fontId="0" fillId="0" borderId="36" xfId="0" applyBorder="1" applyAlignment="1" applyProtection="1">
      <alignment horizontal="center" vertical="center"/>
      <protection locked="0"/>
    </xf>
    <xf numFmtId="0" fontId="0" fillId="0" borderId="36" xfId="0" applyBorder="1" applyAlignment="1">
      <alignment horizontal="left" vertical="center"/>
    </xf>
    <xf numFmtId="0" fontId="0" fillId="0" borderId="37" xfId="0" applyBorder="1" applyAlignment="1">
      <alignment horizontal="left" vertical="center"/>
    </xf>
    <xf numFmtId="0" fontId="0" fillId="0" borderId="0" xfId="0" applyAlignment="1" applyProtection="1">
      <alignment horizontal="center" vertical="center"/>
      <protection locked="0"/>
    </xf>
    <xf numFmtId="0" fontId="3" fillId="0" borderId="40" xfId="0" applyFont="1" applyBorder="1" applyAlignment="1">
      <alignment vertical="top"/>
    </xf>
    <xf numFmtId="0" fontId="3" fillId="0" borderId="17" xfId="0" applyFont="1" applyBorder="1" applyAlignment="1">
      <alignment horizontal="left" vertical="center"/>
    </xf>
    <xf numFmtId="0" fontId="3" fillId="0" borderId="31" xfId="0" applyFont="1" applyBorder="1" applyAlignment="1">
      <alignment vertical="center"/>
    </xf>
    <xf numFmtId="0" fontId="0" fillId="0" borderId="31" xfId="0" applyBorder="1" applyAlignment="1" applyProtection="1">
      <alignment horizontal="center" vertical="center"/>
      <protection locked="0"/>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pplyProtection="1">
      <alignment horizontal="center" vertical="center"/>
      <protection locked="0"/>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2" xfId="0" applyBorder="1" applyAlignment="1">
      <alignment horizontal="left" vertical="center"/>
    </xf>
    <xf numFmtId="0" fontId="3" fillId="0" borderId="0" xfId="0" applyFont="1" applyAlignment="1">
      <alignment vertical="top"/>
    </xf>
    <xf numFmtId="0" fontId="3" fillId="0" borderId="39" xfId="0" applyFont="1" applyBorder="1" applyAlignment="1">
      <alignment horizontal="left" vertical="center" wrapText="1"/>
    </xf>
    <xf numFmtId="0" fontId="0" fillId="0" borderId="27" xfId="0" applyBorder="1" applyAlignment="1">
      <alignment vertical="center"/>
    </xf>
    <xf numFmtId="0" fontId="0" fillId="0" borderId="34" xfId="0" applyBorder="1" applyAlignment="1">
      <alignment vertical="center"/>
    </xf>
    <xf numFmtId="14" fontId="3" fillId="0" borderId="0" xfId="0" applyNumberFormat="1" applyFont="1" applyAlignment="1">
      <alignment horizontal="left" vertical="center"/>
    </xf>
    <xf numFmtId="0" fontId="3" fillId="0" borderId="17" xfId="0" applyFont="1" applyBorder="1" applyAlignment="1">
      <alignment vertical="top"/>
    </xf>
    <xf numFmtId="0" fontId="0" fillId="0" borderId="17" xfId="0" applyBorder="1" applyAlignment="1" applyProtection="1">
      <alignment horizontal="center" vertical="center"/>
      <protection locked="0"/>
    </xf>
    <xf numFmtId="0" fontId="0" fillId="0" borderId="32" xfId="0" applyBorder="1" applyAlignment="1">
      <alignment vertical="center"/>
    </xf>
    <xf numFmtId="0" fontId="3" fillId="0" borderId="28" xfId="0" applyFont="1" applyBorder="1" applyAlignment="1">
      <alignment horizontal="left" vertical="center"/>
    </xf>
    <xf numFmtId="0" fontId="3" fillId="0" borderId="16" xfId="0" applyFont="1" applyBorder="1" applyAlignment="1">
      <alignment vertical="center"/>
    </xf>
    <xf numFmtId="0" fontId="3" fillId="0" borderId="41" xfId="0" applyFont="1" applyBorder="1" applyAlignment="1">
      <alignment vertical="center"/>
    </xf>
    <xf numFmtId="0" fontId="3" fillId="0" borderId="15" xfId="0" applyFont="1" applyBorder="1" applyAlignment="1">
      <alignment vertical="center"/>
    </xf>
    <xf numFmtId="0" fontId="3" fillId="0" borderId="38"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7" fillId="0" borderId="13" xfId="0" applyFont="1" applyBorder="1" applyAlignment="1">
      <alignment vertical="center"/>
    </xf>
    <xf numFmtId="0" fontId="27"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3"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27" xfId="0" applyFont="1" applyBorder="1" applyAlignment="1">
      <alignmen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8" xfId="0" applyFont="1" applyBorder="1" applyAlignment="1">
      <alignment horizontal="left" vertical="center" shrinkToFit="1"/>
    </xf>
    <xf numFmtId="0" fontId="3" fillId="0" borderId="38" xfId="0" applyFont="1" applyBorder="1" applyAlignment="1">
      <alignment horizontal="left" vertical="center"/>
    </xf>
    <xf numFmtId="0" fontId="0" fillId="0" borderId="13" xfId="0" applyBorder="1" applyAlignment="1">
      <alignment vertical="center"/>
    </xf>
    <xf numFmtId="0" fontId="3" fillId="0" borderId="25" xfId="0" applyFont="1" applyBorder="1" applyAlignment="1">
      <alignment vertical="center"/>
    </xf>
    <xf numFmtId="0" fontId="3" fillId="0" borderId="42" xfId="0" applyFont="1" applyBorder="1" applyAlignment="1">
      <alignment vertical="center" wrapText="1"/>
    </xf>
    <xf numFmtId="0" fontId="3" fillId="0" borderId="41" xfId="0" applyFont="1" applyBorder="1" applyAlignment="1">
      <alignment vertical="center" wrapText="1"/>
    </xf>
    <xf numFmtId="0" fontId="3" fillId="0" borderId="25" xfId="0" applyFont="1" applyBorder="1" applyAlignment="1">
      <alignment vertical="center" wrapText="1"/>
    </xf>
    <xf numFmtId="0" fontId="0" fillId="0" borderId="3" xfId="0" applyBorder="1" applyAlignment="1" applyProtection="1">
      <alignment horizontal="center" vertical="center"/>
      <protection locked="0"/>
    </xf>
    <xf numFmtId="0" fontId="3" fillId="0" borderId="70" xfId="0" applyFont="1" applyBorder="1" applyAlignment="1">
      <alignment vertical="center"/>
    </xf>
    <xf numFmtId="0" fontId="0" fillId="0" borderId="70" xfId="0" applyBorder="1" applyAlignment="1">
      <alignment vertical="center"/>
    </xf>
    <xf numFmtId="0" fontId="0" fillId="0" borderId="70" xfId="0" applyBorder="1" applyAlignment="1">
      <alignment horizontal="left" vertical="center"/>
    </xf>
    <xf numFmtId="0" fontId="0" fillId="0" borderId="71" xfId="0" applyBorder="1" applyAlignment="1">
      <alignment horizontal="left" vertical="center"/>
    </xf>
    <xf numFmtId="0" fontId="3" fillId="0" borderId="1" xfId="0" applyFont="1" applyBorder="1" applyAlignment="1">
      <alignment vertical="top"/>
    </xf>
    <xf numFmtId="0" fontId="3" fillId="0" borderId="40" xfId="0" applyFont="1" applyBorder="1" applyAlignment="1">
      <alignment horizontal="left" vertical="center"/>
    </xf>
    <xf numFmtId="0" fontId="3" fillId="0" borderId="35" xfId="0" applyFont="1" applyBorder="1" applyAlignment="1">
      <alignment vertical="center"/>
    </xf>
    <xf numFmtId="0" fontId="3" fillId="0" borderId="28" xfId="0" applyFont="1" applyBorder="1" applyAlignment="1">
      <alignment vertical="center" wrapText="1"/>
    </xf>
    <xf numFmtId="0" fontId="3" fillId="0" borderId="30" xfId="0" applyFont="1" applyBorder="1" applyAlignment="1">
      <alignment horizontal="left" vertical="center" wrapText="1"/>
    </xf>
    <xf numFmtId="0" fontId="27" fillId="0" borderId="27" xfId="0" applyFont="1" applyBorder="1" applyAlignment="1">
      <alignment horizontal="left" vertical="center"/>
    </xf>
    <xf numFmtId="0" fontId="27" fillId="0" borderId="34" xfId="0" applyFont="1" applyBorder="1" applyAlignment="1">
      <alignment horizontal="left" vertical="center"/>
    </xf>
    <xf numFmtId="0" fontId="3" fillId="0" borderId="70" xfId="0" applyFont="1" applyBorder="1" applyAlignment="1">
      <alignment horizontal="left" vertical="center" wrapText="1"/>
    </xf>
    <xf numFmtId="0" fontId="0" fillId="0" borderId="70" xfId="0" applyBorder="1" applyAlignment="1" applyProtection="1">
      <alignment horizontal="center" vertical="center"/>
      <protection locked="0"/>
    </xf>
    <xf numFmtId="0" fontId="3" fillId="0" borderId="42" xfId="0" applyFont="1" applyBorder="1" applyAlignment="1">
      <alignment vertical="center" shrinkToFit="1"/>
    </xf>
    <xf numFmtId="0" fontId="3" fillId="0" borderId="17" xfId="0" applyFont="1" applyBorder="1" applyAlignment="1">
      <alignment horizontal="left" vertical="center" shrinkToFit="1"/>
    </xf>
    <xf numFmtId="0" fontId="3" fillId="0" borderId="30" xfId="0" applyFont="1" applyBorder="1" applyAlignment="1">
      <alignment vertical="center"/>
    </xf>
    <xf numFmtId="0" fontId="0" fillId="0" borderId="27" xfId="0" applyBorder="1" applyAlignment="1">
      <alignment horizontal="left" vertical="center"/>
    </xf>
    <xf numFmtId="0" fontId="0" fillId="0" borderId="34" xfId="0"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0" fillId="0" borderId="36" xfId="0" applyBorder="1" applyAlignment="1">
      <alignment horizontal="center" vertical="center"/>
    </xf>
    <xf numFmtId="0" fontId="0" fillId="0" borderId="0" xfId="0" applyAlignment="1">
      <alignment horizontal="center" vertical="center"/>
    </xf>
    <xf numFmtId="0" fontId="0" fillId="0" borderId="4" xfId="0"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34" xfId="0" applyFont="1" applyBorder="1" applyAlignment="1">
      <alignment horizontal="left" vertical="center"/>
    </xf>
    <xf numFmtId="0" fontId="0" fillId="0" borderId="72" xfId="0" applyBorder="1" applyAlignment="1" applyProtection="1">
      <alignment horizontal="center" vertical="center"/>
      <protection locked="0"/>
    </xf>
    <xf numFmtId="0" fontId="3" fillId="0" borderId="36" xfId="0" applyFont="1" applyBorder="1" applyAlignment="1" applyProtection="1">
      <alignment horizontal="left" vertical="center"/>
      <protection locked="0"/>
    </xf>
    <xf numFmtId="0" fontId="3" fillId="0" borderId="72" xfId="0" applyFont="1" applyBorder="1" applyAlignment="1">
      <alignment vertical="center"/>
    </xf>
    <xf numFmtId="0" fontId="0" fillId="0" borderId="70" xfId="0" applyBorder="1" applyAlignment="1">
      <alignment horizontal="center" vertical="center"/>
    </xf>
    <xf numFmtId="0" fontId="3" fillId="0" borderId="73" xfId="0" applyFont="1" applyBorder="1" applyAlignment="1">
      <alignment vertical="center"/>
    </xf>
    <xf numFmtId="0" fontId="3" fillId="0" borderId="73" xfId="0" applyFont="1" applyBorder="1" applyAlignment="1">
      <alignment horizontal="left" vertical="center" wrapText="1"/>
    </xf>
    <xf numFmtId="0" fontId="0" fillId="0" borderId="73" xfId="0" applyBorder="1" applyAlignment="1" applyProtection="1">
      <alignment horizontal="center" vertical="center"/>
      <protection locked="0"/>
    </xf>
    <xf numFmtId="0" fontId="3" fillId="0" borderId="73" xfId="0" applyFont="1" applyBorder="1" applyAlignment="1">
      <alignment horizontal="left" vertical="center"/>
    </xf>
    <xf numFmtId="0" fontId="0" fillId="0" borderId="73" xfId="0" applyBorder="1" applyAlignment="1">
      <alignment horizontal="center" vertical="center"/>
    </xf>
    <xf numFmtId="0" fontId="3" fillId="0" borderId="74" xfId="0" applyFont="1" applyBorder="1" applyAlignment="1">
      <alignment horizontal="left" vertical="center"/>
    </xf>
    <xf numFmtId="0" fontId="3" fillId="0" borderId="75" xfId="0" applyFont="1" applyBorder="1" applyAlignment="1">
      <alignment horizontal="left" vertical="center" wrapText="1"/>
    </xf>
    <xf numFmtId="0" fontId="0" fillId="0" borderId="76" xfId="0" applyBorder="1" applyAlignment="1" applyProtection="1">
      <alignment horizontal="center" vertical="center"/>
      <protection locked="0"/>
    </xf>
    <xf numFmtId="0" fontId="3" fillId="0" borderId="77" xfId="0" applyFont="1" applyBorder="1" applyAlignment="1">
      <alignment vertical="center"/>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 xfId="0" applyFont="1" applyFill="1" applyBorder="1" applyAlignment="1">
      <alignment horizontal="center" vertical="center"/>
    </xf>
    <xf numFmtId="49" fontId="8" fillId="0" borderId="6" xfId="0" applyNumberFormat="1" applyFont="1" applyFill="1" applyBorder="1" applyAlignment="1">
      <alignment horizontal="left" vertical="center"/>
    </xf>
    <xf numFmtId="49" fontId="8" fillId="0" borderId="7" xfId="0" applyNumberFormat="1" applyFont="1" applyFill="1" applyBorder="1" applyAlignment="1">
      <alignment horizontal="left" vertical="center"/>
    </xf>
    <xf numFmtId="49" fontId="8" fillId="0" borderId="8" xfId="0" applyNumberFormat="1" applyFont="1" applyFill="1" applyBorder="1" applyAlignment="1">
      <alignment horizontal="left" vertical="center"/>
    </xf>
    <xf numFmtId="0" fontId="8"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2"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3" fillId="0" borderId="39" xfId="0" applyFont="1" applyFill="1" applyBorder="1" applyAlignment="1">
      <alignment horizontal="left"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0" fillId="0" borderId="33"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3" fillId="0" borderId="3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left" vertical="center"/>
    </xf>
    <xf numFmtId="0" fontId="3" fillId="0" borderId="36" xfId="0" applyFont="1" applyBorder="1" applyAlignment="1">
      <alignment horizontal="left" vertical="center"/>
    </xf>
    <xf numFmtId="0" fontId="0" fillId="0" borderId="27"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36" xfId="0" applyBorder="1" applyAlignment="1" applyProtection="1">
      <alignment horizontal="center" vertical="center"/>
      <protection locked="0"/>
    </xf>
    <xf numFmtId="0" fontId="3" fillId="0" borderId="42" xfId="0" applyFont="1" applyBorder="1" applyAlignment="1">
      <alignment horizontal="left" vertical="center" wrapText="1"/>
    </xf>
    <xf numFmtId="0" fontId="3" fillId="0" borderId="39" xfId="0" applyFont="1" applyBorder="1" applyAlignment="1">
      <alignment horizontal="left" vertical="center" wrapText="1"/>
    </xf>
    <xf numFmtId="0" fontId="0" fillId="0" borderId="17"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69" xfId="0" applyFont="1" applyBorder="1" applyAlignment="1">
      <alignment horizontal="left" vertical="center"/>
    </xf>
    <xf numFmtId="0" fontId="3" fillId="0" borderId="28" xfId="0" applyFont="1" applyBorder="1" applyAlignment="1">
      <alignment horizontal="left"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28" xfId="0" applyFont="1" applyBorder="1" applyAlignment="1">
      <alignment horizontal="left" vertical="center" wrapText="1"/>
    </xf>
    <xf numFmtId="0" fontId="0" fillId="0" borderId="33" xfId="0" applyBorder="1" applyAlignment="1" applyProtection="1">
      <alignment horizontal="center" vertical="center"/>
      <protection locked="0"/>
    </xf>
    <xf numFmtId="0" fontId="3" fillId="0" borderId="30" xfId="0" applyFont="1" applyBorder="1" applyAlignment="1">
      <alignment horizontal="left" vertical="center" wrapText="1"/>
    </xf>
    <xf numFmtId="0" fontId="0" fillId="0" borderId="33"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0" fillId="0" borderId="31"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25" xfId="0" applyFont="1" applyBorder="1" applyAlignment="1">
      <alignment horizontal="left" vertical="center"/>
    </xf>
    <xf numFmtId="0" fontId="3" fillId="0" borderId="39" xfId="0" applyFont="1" applyBorder="1" applyAlignment="1">
      <alignment horizontal="left" vertical="center"/>
    </xf>
    <xf numFmtId="0" fontId="3" fillId="0" borderId="30" xfId="0" applyFont="1" applyBorder="1" applyAlignment="1">
      <alignment horizontal="left" vertical="center"/>
    </xf>
    <xf numFmtId="0" fontId="0" fillId="0" borderId="29" xfId="0" applyBorder="1" applyAlignment="1" applyProtection="1">
      <alignment horizontal="center" vertical="center" wrapText="1"/>
      <protection locked="0"/>
    </xf>
    <xf numFmtId="0" fontId="3" fillId="0" borderId="29" xfId="0" applyFont="1" applyBorder="1" applyAlignment="1">
      <alignment horizontal="left" vertical="center"/>
    </xf>
    <xf numFmtId="0" fontId="3" fillId="0" borderId="42" xfId="0" applyFont="1" applyBorder="1" applyAlignment="1">
      <alignment horizontal="left" vertical="center"/>
    </xf>
    <xf numFmtId="0" fontId="3" fillId="0" borderId="45" xfId="0" applyFont="1" applyBorder="1" applyAlignment="1">
      <alignment vertical="top"/>
    </xf>
    <xf numFmtId="0" fontId="0" fillId="0" borderId="46" xfId="0" applyBorder="1" applyAlignment="1">
      <alignment vertical="top"/>
    </xf>
    <xf numFmtId="0" fontId="0" fillId="0" borderId="47" xfId="0" applyBorder="1" applyAlignment="1">
      <alignment vertical="top"/>
    </xf>
    <xf numFmtId="0" fontId="0" fillId="0" borderId="48" xfId="0" applyBorder="1" applyAlignment="1">
      <alignment vertical="top"/>
    </xf>
    <xf numFmtId="0" fontId="0" fillId="0" borderId="49" xfId="0" applyBorder="1" applyAlignment="1">
      <alignment vertical="top"/>
    </xf>
    <xf numFmtId="0" fontId="0" fillId="0" borderId="50" xfId="0" applyBorder="1" applyAlignment="1">
      <alignment vertical="top"/>
    </xf>
    <xf numFmtId="0" fontId="0" fillId="0" borderId="51" xfId="0" applyBorder="1" applyAlignment="1">
      <alignment vertical="top"/>
    </xf>
    <xf numFmtId="0" fontId="0" fillId="0" borderId="52" xfId="0" applyBorder="1" applyAlignment="1">
      <alignment vertical="top"/>
    </xf>
    <xf numFmtId="0" fontId="0" fillId="0" borderId="53" xfId="0" applyBorder="1" applyAlignment="1">
      <alignment vertical="top"/>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1"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8" fillId="0" borderId="0" xfId="0" applyFont="1" applyAlignment="1">
      <alignment horizontal="center" vertical="center"/>
    </xf>
    <xf numFmtId="0" fontId="3" fillId="0" borderId="2" xfId="0" applyFont="1" applyBorder="1" applyAlignment="1">
      <alignment horizontal="center" vertical="center"/>
    </xf>
    <xf numFmtId="49" fontId="8" fillId="0" borderId="6" xfId="0" applyNumberFormat="1" applyFont="1" applyBorder="1" applyAlignment="1">
      <alignment horizontal="left" vertical="center"/>
    </xf>
    <xf numFmtId="49" fontId="8" fillId="0" borderId="7" xfId="0" applyNumberFormat="1" applyFont="1" applyBorder="1" applyAlignment="1">
      <alignment horizontal="left" vertical="center"/>
    </xf>
    <xf numFmtId="49" fontId="8" fillId="0" borderId="8" xfId="0" applyNumberFormat="1" applyFont="1" applyBorder="1" applyAlignment="1">
      <alignment horizontal="left" vertical="center"/>
    </xf>
    <xf numFmtId="0" fontId="8"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2"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0"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3"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40"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k13sv01\FileSV\&#20581;&#24247;&#31119;&#31049;&#37096;\&#31119;&#31049;&#25351;&#23566;&#30435;&#26619;&#35506;\&#9734;&#31119;&#31049;&#25351;&#23566;&#30435;&#26619;&#35506;&#9734;\05%20&#25351;&#23450;&#23621;&#23429;&#12469;&#12540;&#12499;&#12473;&#31561;&#38306;&#20418;\17%20&#22577;&#37228;&#25913;&#23450;\R7_&#22577;&#37228;&#25913;&#23450;\070331%20&#38651;&#23376;&#30003;&#35531;&#23626;&#20986;&#12471;&#12473;&#12486;&#12512;&#12395;&#29992;&#12356;&#12427;&#20307;&#21046;&#34920;&#65288;&#30906;&#23450;&#29256;&#65289;&#12395;&#12388;&#12365;&#12414;&#12375;&#12390;\&#65288;&#20462;&#27491;&#29256;&#65289;&#20307;&#21046;&#31561;&#29366;&#27841;&#19968;&#35239;&#34920;20250328_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
      <sheetName val="居宅サテライト"/>
      <sheetName val="備考（1）"/>
      <sheetName val="予防"/>
      <sheetName val="予防サテライト"/>
      <sheetName val="備考（1－2）"/>
      <sheetName val="別紙１－３"/>
      <sheetName val="備考（1－3）"/>
      <sheetName val="別紙１－4"/>
      <sheetName val="別紙2"/>
      <sheetName val="別紙3"/>
      <sheetName val="別紙3－2"/>
      <sheetName val="別紙4"/>
      <sheetName val="別紙5"/>
      <sheetName val="別紙5－2"/>
      <sheetName val="別紙6"/>
      <sheetName val="別紙7"/>
      <sheetName val="別紙7－2"/>
      <sheetName val="別紙7－3"/>
      <sheetName val="別紙8"/>
      <sheetName val="別紙９"/>
      <sheetName val="別紙９ー２"/>
      <sheetName val="別紙9－3"/>
      <sheetName val="別紙10"/>
      <sheetName val="別紙11"/>
      <sheetName val="別紙12"/>
      <sheetName val="別紙12-2"/>
      <sheetName val="別紙１３"/>
      <sheetName val="別紙１４"/>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ー２"/>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pageSetUpPr fitToPage="1"/>
  </sheetPr>
  <dimension ref="A2:AL187"/>
  <sheetViews>
    <sheetView tabSelected="1" view="pageBreakPreview" zoomScale="70" zoomScaleNormal="75" zoomScaleSheetLayoutView="70" workbookViewId="0"/>
  </sheetViews>
  <sheetFormatPr defaultRowHeight="13.5" x14ac:dyDescent="0.15"/>
  <cols>
    <col min="1" max="2" width="4.25" style="92" customWidth="1"/>
    <col min="3" max="3" width="25" style="93" customWidth="1"/>
    <col min="4" max="4" width="4.875" style="93" customWidth="1"/>
    <col min="5" max="5" width="41.625" style="93" customWidth="1"/>
    <col min="6" max="6" width="4.875" style="93" customWidth="1"/>
    <col min="7" max="7" width="19.625" style="93" customWidth="1"/>
    <col min="8" max="8" width="33.875" style="93" customWidth="1"/>
    <col min="9" max="24" width="5.375" style="93" customWidth="1"/>
    <col min="25" max="32" width="4.875" style="93" customWidth="1"/>
    <col min="33" max="38" width="0" style="109" hidden="1" customWidth="1"/>
    <col min="39" max="16384" width="9" style="93"/>
  </cols>
  <sheetData>
    <row r="2" spans="1:38" ht="20.25" customHeight="1" x14ac:dyDescent="0.15">
      <c r="A2" s="107" t="s">
        <v>226</v>
      </c>
      <c r="B2" s="108"/>
    </row>
    <row r="3" spans="1:38" ht="21" customHeight="1" x14ac:dyDescent="0.15">
      <c r="A3" s="337" t="s">
        <v>26</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row>
    <row r="4" spans="1:38" ht="20.25" customHeight="1" x14ac:dyDescent="0.15"/>
    <row r="5" spans="1:38" ht="27" customHeight="1" x14ac:dyDescent="0.15">
      <c r="I5" s="341" t="s">
        <v>227</v>
      </c>
      <c r="J5" s="341"/>
      <c r="K5" s="341"/>
      <c r="L5" s="341"/>
      <c r="M5" s="341"/>
      <c r="N5" s="341"/>
      <c r="O5" s="341"/>
      <c r="P5" s="341"/>
      <c r="Q5" s="341"/>
      <c r="R5" s="341"/>
      <c r="S5" s="341"/>
      <c r="T5" s="341"/>
      <c r="U5" s="341"/>
      <c r="V5" s="341"/>
      <c r="W5" s="341"/>
      <c r="X5" s="339" t="s">
        <v>82</v>
      </c>
      <c r="Y5" s="339"/>
      <c r="Z5" s="340"/>
      <c r="AA5" s="342" t="s">
        <v>228</v>
      </c>
      <c r="AB5" s="343"/>
      <c r="AC5" s="343"/>
      <c r="AD5" s="343"/>
      <c r="AE5" s="343"/>
      <c r="AF5" s="344"/>
      <c r="AG5" s="93"/>
      <c r="AH5" s="93"/>
      <c r="AI5" s="93"/>
      <c r="AJ5" s="93"/>
      <c r="AK5" s="93"/>
      <c r="AL5" s="93"/>
    </row>
    <row r="6" spans="1:38" ht="27.75" customHeight="1" x14ac:dyDescent="0.15">
      <c r="I6" s="341" t="s">
        <v>20</v>
      </c>
      <c r="J6" s="341"/>
      <c r="K6" s="341"/>
      <c r="L6" s="341"/>
      <c r="M6" s="341"/>
      <c r="N6" s="345" t="s">
        <v>229</v>
      </c>
      <c r="O6" s="345"/>
      <c r="P6" s="345"/>
      <c r="Q6" s="345"/>
      <c r="R6" s="345"/>
      <c r="S6" s="345"/>
      <c r="T6" s="345"/>
      <c r="U6" s="345"/>
      <c r="V6" s="345"/>
      <c r="W6" s="345"/>
      <c r="X6" s="341" t="s">
        <v>230</v>
      </c>
      <c r="Y6" s="341"/>
      <c r="Z6" s="341"/>
      <c r="AA6" s="110"/>
      <c r="AB6" s="111" t="s">
        <v>35</v>
      </c>
      <c r="AC6" s="111"/>
      <c r="AD6" s="111" t="s">
        <v>223</v>
      </c>
      <c r="AE6" s="111"/>
      <c r="AF6" s="112" t="s">
        <v>224</v>
      </c>
      <c r="AG6" s="93"/>
      <c r="AH6" s="93"/>
      <c r="AI6" s="93"/>
      <c r="AJ6" s="93"/>
      <c r="AK6" s="93"/>
      <c r="AL6" s="93"/>
    </row>
    <row r="7" spans="1:38" ht="20.25" customHeight="1" x14ac:dyDescent="0.15"/>
    <row r="8" spans="1:38" ht="17.25" customHeight="1" x14ac:dyDescent="0.15">
      <c r="A8" s="338" t="s">
        <v>128</v>
      </c>
      <c r="B8" s="339"/>
      <c r="C8" s="340"/>
      <c r="D8" s="338" t="s">
        <v>1</v>
      </c>
      <c r="E8" s="340"/>
      <c r="F8" s="338" t="s">
        <v>83</v>
      </c>
      <c r="G8" s="340"/>
      <c r="H8" s="338" t="s">
        <v>116</v>
      </c>
      <c r="I8" s="339"/>
      <c r="J8" s="339"/>
      <c r="K8" s="339"/>
      <c r="L8" s="339"/>
      <c r="M8" s="339"/>
      <c r="N8" s="339"/>
      <c r="O8" s="339"/>
      <c r="P8" s="339"/>
      <c r="Q8" s="339"/>
      <c r="R8" s="339"/>
      <c r="S8" s="339"/>
      <c r="T8" s="339"/>
      <c r="U8" s="339"/>
      <c r="V8" s="339"/>
      <c r="W8" s="339"/>
      <c r="X8" s="340"/>
      <c r="Y8" s="338" t="s">
        <v>132</v>
      </c>
      <c r="Z8" s="339"/>
      <c r="AA8" s="339"/>
      <c r="AB8" s="340"/>
      <c r="AC8" s="338" t="s">
        <v>84</v>
      </c>
      <c r="AD8" s="339"/>
      <c r="AE8" s="339"/>
      <c r="AF8" s="340"/>
    </row>
    <row r="9" spans="1:38" ht="18.75" customHeight="1" x14ac:dyDescent="0.15">
      <c r="A9" s="346" t="s">
        <v>85</v>
      </c>
      <c r="B9" s="347"/>
      <c r="C9" s="348"/>
      <c r="D9" s="346"/>
      <c r="E9" s="348"/>
      <c r="F9" s="346"/>
      <c r="G9" s="348"/>
      <c r="H9" s="352" t="s">
        <v>86</v>
      </c>
      <c r="I9" s="113" t="s">
        <v>184</v>
      </c>
      <c r="J9" s="114" t="s">
        <v>133</v>
      </c>
      <c r="K9" s="115"/>
      <c r="L9" s="115"/>
      <c r="M9" s="113" t="s">
        <v>184</v>
      </c>
      <c r="N9" s="114" t="s">
        <v>134</v>
      </c>
      <c r="O9" s="115"/>
      <c r="P9" s="115"/>
      <c r="Q9" s="113" t="s">
        <v>184</v>
      </c>
      <c r="R9" s="114" t="s">
        <v>135</v>
      </c>
      <c r="S9" s="115"/>
      <c r="T9" s="115"/>
      <c r="U9" s="113" t="s">
        <v>184</v>
      </c>
      <c r="V9" s="114" t="s">
        <v>136</v>
      </c>
      <c r="W9" s="115"/>
      <c r="X9" s="116"/>
      <c r="Y9" s="354"/>
      <c r="Z9" s="355"/>
      <c r="AA9" s="355"/>
      <c r="AB9" s="356"/>
      <c r="AC9" s="354"/>
      <c r="AD9" s="355"/>
      <c r="AE9" s="355"/>
      <c r="AF9" s="356"/>
      <c r="AG9" s="109" t="str">
        <f>"tiikikbn_code:"&amp; IF(I9="■",1,IF(M9="■",6,IF(Q9="■",7,IF(U9="■",2,IF(I10="■",3,IF(M10="■",4,IF(Q10="■",9,IF(U10="■",5,0))))))))</f>
        <v>tiikikbn_code:0</v>
      </c>
    </row>
    <row r="10" spans="1:38" ht="18.75" customHeight="1" x14ac:dyDescent="0.15">
      <c r="A10" s="349"/>
      <c r="B10" s="350"/>
      <c r="C10" s="351"/>
      <c r="D10" s="349"/>
      <c r="E10" s="351"/>
      <c r="F10" s="349"/>
      <c r="G10" s="351"/>
      <c r="H10" s="353"/>
      <c r="I10" s="117" t="s">
        <v>184</v>
      </c>
      <c r="J10" s="94" t="s">
        <v>137</v>
      </c>
      <c r="K10" s="118"/>
      <c r="L10" s="118"/>
      <c r="M10" s="113" t="s">
        <v>184</v>
      </c>
      <c r="N10" s="94" t="s">
        <v>138</v>
      </c>
      <c r="O10" s="118"/>
      <c r="P10" s="118"/>
      <c r="Q10" s="113" t="s">
        <v>184</v>
      </c>
      <c r="R10" s="94" t="s">
        <v>139</v>
      </c>
      <c r="S10" s="118"/>
      <c r="T10" s="118"/>
      <c r="U10" s="113" t="s">
        <v>184</v>
      </c>
      <c r="V10" s="94" t="s">
        <v>140</v>
      </c>
      <c r="W10" s="118"/>
      <c r="X10" s="101"/>
      <c r="Y10" s="357"/>
      <c r="Z10" s="358"/>
      <c r="AA10" s="358"/>
      <c r="AB10" s="359"/>
      <c r="AC10" s="357"/>
      <c r="AD10" s="358"/>
      <c r="AE10" s="358"/>
      <c r="AF10" s="359"/>
    </row>
    <row r="11" spans="1:38" s="109" customFormat="1" ht="18.75" customHeight="1" x14ac:dyDescent="0.15">
      <c r="A11" s="119"/>
      <c r="B11" s="120"/>
      <c r="C11" s="189"/>
      <c r="D11" s="190"/>
      <c r="E11" s="116"/>
      <c r="F11" s="123"/>
      <c r="G11" s="116"/>
      <c r="H11" s="352" t="s">
        <v>89</v>
      </c>
      <c r="I11" s="128" t="s">
        <v>184</v>
      </c>
      <c r="J11" s="114" t="s">
        <v>153</v>
      </c>
      <c r="K11" s="126"/>
      <c r="L11" s="179"/>
      <c r="M11" s="125" t="s">
        <v>184</v>
      </c>
      <c r="N11" s="114" t="s">
        <v>157</v>
      </c>
      <c r="O11" s="179"/>
      <c r="P11" s="179"/>
      <c r="Q11" s="125" t="s">
        <v>184</v>
      </c>
      <c r="R11" s="114" t="s">
        <v>158</v>
      </c>
      <c r="S11" s="179"/>
      <c r="T11" s="179"/>
      <c r="U11" s="125" t="s">
        <v>184</v>
      </c>
      <c r="V11" s="114" t="s">
        <v>159</v>
      </c>
      <c r="W11" s="179"/>
      <c r="X11" s="172"/>
      <c r="Y11" s="128" t="s">
        <v>184</v>
      </c>
      <c r="Z11" s="114" t="s">
        <v>141</v>
      </c>
      <c r="AA11" s="114"/>
      <c r="AB11" s="127"/>
      <c r="AC11" s="354"/>
      <c r="AD11" s="355"/>
      <c r="AE11" s="355"/>
      <c r="AF11" s="356"/>
      <c r="AG11" s="109" t="str">
        <f>"ser_code = '" &amp; IF(A28="■",55,"") &amp; "'"</f>
        <v>ser_code = ''</v>
      </c>
      <c r="AH11" s="109" t="str">
        <f>"55:jininkbn_code:" &amp; IF(F27="■",1,IF(F28="■",2,IF(F29="■",3,0)))</f>
        <v>55:jininkbn_code:0</v>
      </c>
      <c r="AI11" s="109" t="str">
        <f>"55:yakan_kinmu_code:" &amp; IF(I11="■",1,IF(M11="■",2,IF(Q11="■",3,IF(U11="■",7,IF(I12="■",5,IF(M12="■",6,0))))))</f>
        <v>55:yakan_kinmu_code:0</v>
      </c>
      <c r="AJ11" s="109" t="str">
        <f>"55:field203:" &amp; IF(Y11="■",1,IF(Y12="■",2,0))</f>
        <v>55:field203:0</v>
      </c>
    </row>
    <row r="12" spans="1:38" s="109" customFormat="1" ht="18.75" customHeight="1" x14ac:dyDescent="0.15">
      <c r="A12" s="97"/>
      <c r="B12" s="98"/>
      <c r="C12" s="182"/>
      <c r="D12" s="183"/>
      <c r="E12" s="101"/>
      <c r="F12" s="102"/>
      <c r="G12" s="101"/>
      <c r="H12" s="362"/>
      <c r="I12" s="129" t="s">
        <v>184</v>
      </c>
      <c r="J12" s="105" t="s">
        <v>160</v>
      </c>
      <c r="K12" s="150"/>
      <c r="L12" s="130"/>
      <c r="M12" s="163" t="s">
        <v>184</v>
      </c>
      <c r="N12" s="105" t="s">
        <v>154</v>
      </c>
      <c r="O12" s="130"/>
      <c r="P12" s="130"/>
      <c r="Q12" s="130"/>
      <c r="R12" s="130"/>
      <c r="S12" s="130"/>
      <c r="T12" s="130"/>
      <c r="U12" s="130"/>
      <c r="V12" s="130"/>
      <c r="W12" s="130"/>
      <c r="X12" s="175"/>
      <c r="Y12" s="117" t="s">
        <v>184</v>
      </c>
      <c r="Z12" s="94" t="s">
        <v>145</v>
      </c>
      <c r="AA12" s="95"/>
      <c r="AB12" s="96"/>
      <c r="AC12" s="357"/>
      <c r="AD12" s="358"/>
      <c r="AE12" s="358"/>
      <c r="AF12" s="359"/>
      <c r="AG12" s="109" t="str">
        <f>"55:sisetukbn_code:" &amp; IF(D28="■",2,0)</f>
        <v>55:sisetukbn_code:0</v>
      </c>
    </row>
    <row r="13" spans="1:38" s="109" customFormat="1" ht="18.75" customHeight="1" x14ac:dyDescent="0.15">
      <c r="A13" s="97"/>
      <c r="B13" s="98"/>
      <c r="C13" s="182"/>
      <c r="D13" s="183"/>
      <c r="E13" s="101"/>
      <c r="F13" s="102"/>
      <c r="G13" s="101"/>
      <c r="H13" s="366" t="s">
        <v>87</v>
      </c>
      <c r="I13" s="164" t="s">
        <v>184</v>
      </c>
      <c r="J13" s="146" t="s">
        <v>142</v>
      </c>
      <c r="K13" s="146"/>
      <c r="L13" s="168"/>
      <c r="M13" s="165" t="s">
        <v>184</v>
      </c>
      <c r="N13" s="146" t="s">
        <v>152</v>
      </c>
      <c r="O13" s="146"/>
      <c r="P13" s="168"/>
      <c r="Q13" s="165" t="s">
        <v>184</v>
      </c>
      <c r="R13" s="168" t="s">
        <v>173</v>
      </c>
      <c r="S13" s="168"/>
      <c r="T13" s="168"/>
      <c r="U13" s="165" t="s">
        <v>184</v>
      </c>
      <c r="V13" s="168" t="s">
        <v>174</v>
      </c>
      <c r="W13" s="185"/>
      <c r="X13" s="186"/>
      <c r="Y13" s="133"/>
      <c r="Z13" s="95"/>
      <c r="AA13" s="95"/>
      <c r="AB13" s="96"/>
      <c r="AC13" s="357"/>
      <c r="AD13" s="358"/>
      <c r="AE13" s="358"/>
      <c r="AF13" s="359"/>
      <c r="AI13" s="109" t="str">
        <f>"55:"&amp;IF(AND(I13="□",M13="□",Q13="□",U13="□",I14="□",M14="□"),"ketu_doctor_code:0",IF(I13="■","ketu_doctor_code:1:field197:1:ketu_kangos_code:1:ketu_kshoku_code:1:ketu_ksiensou_code:1",IF(M13="■","ketu_doctor_code:2","ketu_doctor_code:1")
&amp;IF(Q13="■",":field197:2",":field197:1")
&amp;IF(U13="■",":ketu_kangos_code:2",":ketu_kangos_code:1")
&amp;IF(I14="■",":ketu_kshoku_code:2",":ketu_kshoku_code:1")
&amp;IF(M14="■",":ketu_ksiensou_code:2",":ketu_ksiensou_code:1")))</f>
        <v>55:ketu_doctor_code:0</v>
      </c>
    </row>
    <row r="14" spans="1:38" s="109" customFormat="1" ht="18.75" customHeight="1" x14ac:dyDescent="0.15">
      <c r="A14" s="97"/>
      <c r="B14" s="98"/>
      <c r="C14" s="182"/>
      <c r="D14" s="183"/>
      <c r="E14" s="101"/>
      <c r="F14" s="102"/>
      <c r="G14" s="101"/>
      <c r="H14" s="362"/>
      <c r="I14" s="129" t="s">
        <v>184</v>
      </c>
      <c r="J14" s="130" t="s">
        <v>175</v>
      </c>
      <c r="K14" s="105"/>
      <c r="L14" s="130"/>
      <c r="M14" s="163" t="s">
        <v>184</v>
      </c>
      <c r="N14" s="105" t="s">
        <v>189</v>
      </c>
      <c r="O14" s="105"/>
      <c r="P14" s="130"/>
      <c r="Q14" s="130"/>
      <c r="R14" s="130"/>
      <c r="S14" s="130"/>
      <c r="T14" s="130"/>
      <c r="U14" s="130"/>
      <c r="V14" s="130"/>
      <c r="W14" s="131"/>
      <c r="X14" s="132"/>
      <c r="Y14" s="133"/>
      <c r="Z14" s="95"/>
      <c r="AA14" s="95"/>
      <c r="AB14" s="96"/>
      <c r="AC14" s="357"/>
      <c r="AD14" s="358"/>
      <c r="AE14" s="358"/>
      <c r="AF14" s="359"/>
    </row>
    <row r="15" spans="1:38" s="109" customFormat="1" ht="18.75" customHeight="1" x14ac:dyDescent="0.15">
      <c r="A15" s="97"/>
      <c r="B15" s="98"/>
      <c r="C15" s="182"/>
      <c r="D15" s="183"/>
      <c r="E15" s="101"/>
      <c r="F15" s="102"/>
      <c r="G15" s="101"/>
      <c r="H15" s="177" t="s">
        <v>92</v>
      </c>
      <c r="I15" s="134" t="s">
        <v>184</v>
      </c>
      <c r="J15" s="135" t="s">
        <v>185</v>
      </c>
      <c r="K15" s="136"/>
      <c r="L15" s="137"/>
      <c r="M15" s="138" t="s">
        <v>184</v>
      </c>
      <c r="N15" s="135" t="s">
        <v>186</v>
      </c>
      <c r="O15" s="140"/>
      <c r="P15" s="140"/>
      <c r="Q15" s="136"/>
      <c r="R15" s="136"/>
      <c r="S15" s="136"/>
      <c r="T15" s="136"/>
      <c r="U15" s="136"/>
      <c r="V15" s="136"/>
      <c r="W15" s="136"/>
      <c r="X15" s="144"/>
      <c r="Y15" s="133"/>
      <c r="Z15" s="95"/>
      <c r="AA15" s="95"/>
      <c r="AB15" s="96"/>
      <c r="AC15" s="357"/>
      <c r="AD15" s="358"/>
      <c r="AE15" s="358"/>
      <c r="AF15" s="359"/>
      <c r="AI15" s="109" t="str">
        <f>"55:sintaikousoku_code:" &amp; IF(I15="■",1,IF(M15="■",2,0))</f>
        <v>55:sintaikousoku_code:0</v>
      </c>
    </row>
    <row r="16" spans="1:38" s="109" customFormat="1" ht="18.75" customHeight="1" x14ac:dyDescent="0.15">
      <c r="A16" s="97"/>
      <c r="B16" s="98"/>
      <c r="C16" s="182"/>
      <c r="D16" s="183"/>
      <c r="E16" s="101"/>
      <c r="F16" s="102"/>
      <c r="G16" s="101"/>
      <c r="H16" s="177" t="s">
        <v>124</v>
      </c>
      <c r="I16" s="134" t="s">
        <v>184</v>
      </c>
      <c r="J16" s="135" t="s">
        <v>185</v>
      </c>
      <c r="K16" s="136"/>
      <c r="L16" s="137"/>
      <c r="M16" s="138" t="s">
        <v>184</v>
      </c>
      <c r="N16" s="135" t="s">
        <v>186</v>
      </c>
      <c r="O16" s="140"/>
      <c r="P16" s="140"/>
      <c r="Q16" s="136"/>
      <c r="R16" s="136"/>
      <c r="S16" s="136"/>
      <c r="T16" s="136"/>
      <c r="U16" s="136"/>
      <c r="V16" s="136"/>
      <c r="W16" s="136"/>
      <c r="X16" s="144"/>
      <c r="Y16" s="133"/>
      <c r="Z16" s="95"/>
      <c r="AA16" s="95"/>
      <c r="AB16" s="96"/>
      <c r="AC16" s="357"/>
      <c r="AD16" s="358"/>
      <c r="AE16" s="358"/>
      <c r="AF16" s="359"/>
      <c r="AI16" s="109" t="str">
        <f>"55:field208:" &amp; IF(I16="■",1,IF(M16="■",2,0))</f>
        <v>55:field208:0</v>
      </c>
    </row>
    <row r="17" spans="1:38" s="109" customFormat="1" ht="19.5" customHeight="1" x14ac:dyDescent="0.15">
      <c r="A17" s="97"/>
      <c r="B17" s="98"/>
      <c r="C17" s="99"/>
      <c r="D17" s="100"/>
      <c r="E17" s="101"/>
      <c r="F17" s="102"/>
      <c r="G17" s="103"/>
      <c r="H17" s="104" t="s">
        <v>192</v>
      </c>
      <c r="I17" s="134" t="s">
        <v>184</v>
      </c>
      <c r="J17" s="135" t="s">
        <v>185</v>
      </c>
      <c r="K17" s="136"/>
      <c r="L17" s="137"/>
      <c r="M17" s="138" t="s">
        <v>184</v>
      </c>
      <c r="N17" s="135" t="s">
        <v>193</v>
      </c>
      <c r="O17" s="139"/>
      <c r="P17" s="135"/>
      <c r="Q17" s="140"/>
      <c r="R17" s="140"/>
      <c r="S17" s="140"/>
      <c r="T17" s="140"/>
      <c r="U17" s="140"/>
      <c r="V17" s="140"/>
      <c r="W17" s="140"/>
      <c r="X17" s="141"/>
      <c r="Y17" s="95"/>
      <c r="Z17" s="95"/>
      <c r="AA17" s="95"/>
      <c r="AB17" s="96"/>
      <c r="AC17" s="357"/>
      <c r="AD17" s="358"/>
      <c r="AE17" s="358"/>
      <c r="AF17" s="359"/>
      <c r="AI17" s="109" t="str">
        <f>"55:field223:" &amp; IF(I17="■",1,IF(M17="■",2,0))</f>
        <v>55:field223:0</v>
      </c>
    </row>
    <row r="18" spans="1:38" s="109" customFormat="1" ht="19.5" customHeight="1" x14ac:dyDescent="0.15">
      <c r="A18" s="97"/>
      <c r="B18" s="98"/>
      <c r="C18" s="99"/>
      <c r="D18" s="100"/>
      <c r="E18" s="101"/>
      <c r="F18" s="102"/>
      <c r="G18" s="103"/>
      <c r="H18" s="104" t="s">
        <v>201</v>
      </c>
      <c r="I18" s="134" t="s">
        <v>184</v>
      </c>
      <c r="J18" s="135" t="s">
        <v>185</v>
      </c>
      <c r="K18" s="136"/>
      <c r="L18" s="137"/>
      <c r="M18" s="138" t="s">
        <v>184</v>
      </c>
      <c r="N18" s="135" t="s">
        <v>193</v>
      </c>
      <c r="O18" s="139"/>
      <c r="P18" s="135"/>
      <c r="Q18" s="140"/>
      <c r="R18" s="140"/>
      <c r="S18" s="140"/>
      <c r="T18" s="140"/>
      <c r="U18" s="140"/>
      <c r="V18" s="140"/>
      <c r="W18" s="140"/>
      <c r="X18" s="141"/>
      <c r="Y18" s="95"/>
      <c r="Z18" s="95"/>
      <c r="AA18" s="95"/>
      <c r="AB18" s="96"/>
      <c r="AC18" s="357"/>
      <c r="AD18" s="358"/>
      <c r="AE18" s="358"/>
      <c r="AF18" s="359"/>
      <c r="AI18" s="109" t="str">
        <f>"55:field232:" &amp; IF(I18="■",1,IF(M18="■",2,0))</f>
        <v>55:field232:0</v>
      </c>
    </row>
    <row r="19" spans="1:38" s="109" customFormat="1" ht="18.75" customHeight="1" x14ac:dyDescent="0.15">
      <c r="A19" s="97"/>
      <c r="B19" s="98"/>
      <c r="C19" s="182"/>
      <c r="D19" s="183"/>
      <c r="E19" s="101"/>
      <c r="F19" s="102"/>
      <c r="G19" s="101"/>
      <c r="H19" s="367" t="s">
        <v>125</v>
      </c>
      <c r="I19" s="369" t="s">
        <v>184</v>
      </c>
      <c r="J19" s="360" t="s">
        <v>142</v>
      </c>
      <c r="K19" s="360"/>
      <c r="L19" s="371" t="s">
        <v>184</v>
      </c>
      <c r="M19" s="360" t="s">
        <v>150</v>
      </c>
      <c r="N19" s="360"/>
      <c r="O19" s="168"/>
      <c r="P19" s="168"/>
      <c r="Q19" s="168"/>
      <c r="R19" s="168"/>
      <c r="S19" s="168"/>
      <c r="T19" s="168"/>
      <c r="U19" s="168"/>
      <c r="V19" s="168"/>
      <c r="W19" s="168"/>
      <c r="X19" s="169"/>
      <c r="Y19" s="133"/>
      <c r="Z19" s="95"/>
      <c r="AA19" s="95"/>
      <c r="AB19" s="96"/>
      <c r="AC19" s="357"/>
      <c r="AD19" s="358"/>
      <c r="AE19" s="358"/>
      <c r="AF19" s="359"/>
      <c r="AI19" s="109" t="str">
        <f>"55:field206:" &amp; IF(I19="■",1,IF(L19="■",2,0))</f>
        <v>55:field206:0</v>
      </c>
    </row>
    <row r="20" spans="1:38" s="109" customFormat="1" ht="18.75" customHeight="1" x14ac:dyDescent="0.15">
      <c r="A20" s="97"/>
      <c r="B20" s="98"/>
      <c r="C20" s="182"/>
      <c r="D20" s="183"/>
      <c r="E20" s="101"/>
      <c r="F20" s="102"/>
      <c r="G20" s="101"/>
      <c r="H20" s="368"/>
      <c r="I20" s="370"/>
      <c r="J20" s="361"/>
      <c r="K20" s="361"/>
      <c r="L20" s="372"/>
      <c r="M20" s="361"/>
      <c r="N20" s="361"/>
      <c r="O20" s="130"/>
      <c r="P20" s="130"/>
      <c r="Q20" s="130"/>
      <c r="R20" s="130"/>
      <c r="S20" s="130"/>
      <c r="T20" s="130"/>
      <c r="U20" s="130"/>
      <c r="V20" s="130"/>
      <c r="W20" s="130"/>
      <c r="X20" s="175"/>
      <c r="Y20" s="133"/>
      <c r="Z20" s="95"/>
      <c r="AA20" s="95"/>
      <c r="AB20" s="96"/>
      <c r="AC20" s="357"/>
      <c r="AD20" s="358"/>
      <c r="AE20" s="358"/>
      <c r="AF20" s="359"/>
    </row>
    <row r="21" spans="1:38" s="109" customFormat="1" ht="18.75" customHeight="1" x14ac:dyDescent="0.15">
      <c r="A21" s="97"/>
      <c r="B21" s="98"/>
      <c r="C21" s="182"/>
      <c r="D21" s="183"/>
      <c r="E21" s="101"/>
      <c r="F21" s="102"/>
      <c r="G21" s="101"/>
      <c r="H21" s="177" t="s">
        <v>112</v>
      </c>
      <c r="I21" s="134" t="s">
        <v>184</v>
      </c>
      <c r="J21" s="135" t="s">
        <v>187</v>
      </c>
      <c r="K21" s="136"/>
      <c r="L21" s="137"/>
      <c r="M21" s="138" t="s">
        <v>184</v>
      </c>
      <c r="N21" s="135" t="s">
        <v>161</v>
      </c>
      <c r="O21" s="140"/>
      <c r="P21" s="140"/>
      <c r="Q21" s="136"/>
      <c r="R21" s="136"/>
      <c r="S21" s="136"/>
      <c r="T21" s="136"/>
      <c r="U21" s="136"/>
      <c r="V21" s="136"/>
      <c r="W21" s="136"/>
      <c r="X21" s="144"/>
      <c r="Y21" s="133"/>
      <c r="Z21" s="95"/>
      <c r="AA21" s="95"/>
      <c r="AB21" s="96"/>
      <c r="AC21" s="357"/>
      <c r="AD21" s="358"/>
      <c r="AE21" s="358"/>
      <c r="AF21" s="359"/>
      <c r="AI21" s="109" t="str">
        <f>"55:field190:" &amp; IF(I21="■",1,IF(M21="■",2,0))</f>
        <v>55:field190:0</v>
      </c>
    </row>
    <row r="22" spans="1:38" s="109" customFormat="1" ht="18.75" customHeight="1" x14ac:dyDescent="0.15">
      <c r="A22" s="97"/>
      <c r="B22" s="98"/>
      <c r="C22" s="182"/>
      <c r="D22" s="183"/>
      <c r="E22" s="101"/>
      <c r="F22" s="102"/>
      <c r="G22" s="101"/>
      <c r="H22" s="177" t="s">
        <v>113</v>
      </c>
      <c r="I22" s="134" t="s">
        <v>184</v>
      </c>
      <c r="J22" s="135" t="s">
        <v>187</v>
      </c>
      <c r="K22" s="136"/>
      <c r="L22" s="137"/>
      <c r="M22" s="138" t="s">
        <v>184</v>
      </c>
      <c r="N22" s="135" t="s">
        <v>161</v>
      </c>
      <c r="O22" s="140"/>
      <c r="P22" s="140"/>
      <c r="Q22" s="136"/>
      <c r="R22" s="136"/>
      <c r="S22" s="136"/>
      <c r="T22" s="136"/>
      <c r="U22" s="136"/>
      <c r="V22" s="136"/>
      <c r="W22" s="136"/>
      <c r="X22" s="144"/>
      <c r="Y22" s="133"/>
      <c r="Z22" s="95"/>
      <c r="AA22" s="95"/>
      <c r="AB22" s="96"/>
      <c r="AC22" s="357"/>
      <c r="AD22" s="358"/>
      <c r="AE22" s="358"/>
      <c r="AF22" s="359"/>
      <c r="AI22" s="109" t="str">
        <f>"55:field191:" &amp; IF(I22="■",1,IF(M22="■",2,0))</f>
        <v>55:field191:0</v>
      </c>
    </row>
    <row r="23" spans="1:38" ht="19.5" customHeight="1" x14ac:dyDescent="0.15">
      <c r="A23" s="97"/>
      <c r="B23" s="98"/>
      <c r="C23" s="99"/>
      <c r="D23" s="100"/>
      <c r="E23" s="101"/>
      <c r="F23" s="102"/>
      <c r="G23" s="103"/>
      <c r="H23" s="104" t="s">
        <v>222</v>
      </c>
      <c r="I23" s="134" t="s">
        <v>184</v>
      </c>
      <c r="J23" s="105" t="s">
        <v>220</v>
      </c>
      <c r="K23" s="150"/>
      <c r="L23" s="106"/>
      <c r="M23" s="138" t="s">
        <v>184</v>
      </c>
      <c r="N23" s="105" t="s">
        <v>221</v>
      </c>
      <c r="O23" s="181"/>
      <c r="P23" s="105"/>
      <c r="Q23" s="131"/>
      <c r="R23" s="131"/>
      <c r="S23" s="131"/>
      <c r="T23" s="131"/>
      <c r="U23" s="131"/>
      <c r="V23" s="131"/>
      <c r="W23" s="131"/>
      <c r="X23" s="132"/>
      <c r="Y23" s="148"/>
      <c r="Z23" s="94"/>
      <c r="AA23" s="95"/>
      <c r="AB23" s="96"/>
      <c r="AC23" s="357"/>
      <c r="AD23" s="358"/>
      <c r="AE23" s="358"/>
      <c r="AF23" s="359"/>
      <c r="AG23" s="93"/>
      <c r="AH23" s="93"/>
      <c r="AI23" s="109" t="str">
        <f>"55:field242:" &amp; IF(I23="■",1,IF(M23="■",2,0))</f>
        <v>55:field242:0</v>
      </c>
      <c r="AJ23" s="93"/>
      <c r="AK23" s="93"/>
      <c r="AL23" s="93"/>
    </row>
    <row r="24" spans="1:38" s="109" customFormat="1" ht="18.75" customHeight="1" x14ac:dyDescent="0.15">
      <c r="A24" s="97"/>
      <c r="B24" s="98"/>
      <c r="C24" s="182"/>
      <c r="D24" s="183"/>
      <c r="E24" s="101"/>
      <c r="F24" s="102"/>
      <c r="G24" s="101"/>
      <c r="H24" s="177" t="s">
        <v>98</v>
      </c>
      <c r="I24" s="129" t="s">
        <v>184</v>
      </c>
      <c r="J24" s="105" t="s">
        <v>142</v>
      </c>
      <c r="K24" s="150"/>
      <c r="L24" s="163" t="s">
        <v>184</v>
      </c>
      <c r="M24" s="105" t="s">
        <v>150</v>
      </c>
      <c r="N24" s="166"/>
      <c r="O24" s="140"/>
      <c r="P24" s="136"/>
      <c r="Q24" s="136"/>
      <c r="R24" s="136"/>
      <c r="S24" s="136"/>
      <c r="T24" s="136"/>
      <c r="U24" s="136"/>
      <c r="V24" s="136"/>
      <c r="W24" s="136"/>
      <c r="X24" s="144"/>
      <c r="Y24" s="133"/>
      <c r="Z24" s="95"/>
      <c r="AA24" s="95"/>
      <c r="AB24" s="96"/>
      <c r="AC24" s="357"/>
      <c r="AD24" s="358"/>
      <c r="AE24" s="358"/>
      <c r="AF24" s="359"/>
      <c r="AI24" s="109" t="str">
        <f>"55:jyakuninti_uke_code:" &amp; IF(I24="■",1,IF(L24="■",2,0))</f>
        <v>55:jyakuninti_uke_code:0</v>
      </c>
    </row>
    <row r="25" spans="1:38" s="109" customFormat="1" ht="18.75" customHeight="1" x14ac:dyDescent="0.15">
      <c r="A25" s="97"/>
      <c r="B25" s="98"/>
      <c r="C25" s="182"/>
      <c r="D25" s="183"/>
      <c r="E25" s="101"/>
      <c r="F25" s="102"/>
      <c r="G25" s="101"/>
      <c r="H25" s="177" t="s">
        <v>123</v>
      </c>
      <c r="I25" s="129" t="s">
        <v>184</v>
      </c>
      <c r="J25" s="105" t="s">
        <v>142</v>
      </c>
      <c r="K25" s="150"/>
      <c r="L25" s="163" t="s">
        <v>184</v>
      </c>
      <c r="M25" s="105" t="s">
        <v>150</v>
      </c>
      <c r="N25" s="166"/>
      <c r="O25" s="140"/>
      <c r="P25" s="136"/>
      <c r="Q25" s="136"/>
      <c r="R25" s="136"/>
      <c r="S25" s="136"/>
      <c r="T25" s="136"/>
      <c r="U25" s="136"/>
      <c r="V25" s="136"/>
      <c r="W25" s="136"/>
      <c r="X25" s="144"/>
      <c r="Y25" s="133"/>
      <c r="Z25" s="95"/>
      <c r="AA25" s="95"/>
      <c r="AB25" s="96"/>
      <c r="AC25" s="357"/>
      <c r="AD25" s="358"/>
      <c r="AE25" s="358"/>
      <c r="AF25" s="359"/>
      <c r="AI25" s="109" t="str">
        <f>"55:field207:" &amp; IF(I25="■",1,IF(L25="■",2,0))</f>
        <v>55:field207:0</v>
      </c>
    </row>
    <row r="26" spans="1:38" s="109" customFormat="1" ht="18.75" customHeight="1" x14ac:dyDescent="0.15">
      <c r="A26" s="97"/>
      <c r="B26" s="98"/>
      <c r="C26" s="182"/>
      <c r="D26" s="183"/>
      <c r="E26" s="101"/>
      <c r="F26" s="102"/>
      <c r="G26" s="101"/>
      <c r="H26" s="177" t="s">
        <v>94</v>
      </c>
      <c r="I26" s="129" t="s">
        <v>184</v>
      </c>
      <c r="J26" s="105" t="s">
        <v>142</v>
      </c>
      <c r="K26" s="150"/>
      <c r="L26" s="163" t="s">
        <v>184</v>
      </c>
      <c r="M26" s="105" t="s">
        <v>150</v>
      </c>
      <c r="N26" s="166"/>
      <c r="O26" s="140"/>
      <c r="P26" s="136"/>
      <c r="Q26" s="136"/>
      <c r="R26" s="136"/>
      <c r="S26" s="136"/>
      <c r="T26" s="136"/>
      <c r="U26" s="136"/>
      <c r="V26" s="136"/>
      <c r="W26" s="136"/>
      <c r="X26" s="144"/>
      <c r="Y26" s="133"/>
      <c r="Z26" s="95"/>
      <c r="AA26" s="95"/>
      <c r="AB26" s="96"/>
      <c r="AC26" s="357"/>
      <c r="AD26" s="358"/>
      <c r="AE26" s="358"/>
      <c r="AF26" s="359"/>
      <c r="AI26" s="109" t="str">
        <f>"55:ryouyoushoku_code:" &amp; IF(I26="■",1,IF(L26="■",2,0))</f>
        <v>55:ryouyoushoku_code:0</v>
      </c>
    </row>
    <row r="27" spans="1:38" s="109" customFormat="1" ht="18.75" customHeight="1" x14ac:dyDescent="0.15">
      <c r="A27" s="97"/>
      <c r="B27" s="98"/>
      <c r="C27" s="182"/>
      <c r="D27" s="183"/>
      <c r="E27" s="101"/>
      <c r="F27" s="117" t="s">
        <v>184</v>
      </c>
      <c r="G27" s="101" t="s">
        <v>176</v>
      </c>
      <c r="H27" s="366" t="s">
        <v>111</v>
      </c>
      <c r="I27" s="164" t="s">
        <v>184</v>
      </c>
      <c r="J27" s="146" t="s">
        <v>155</v>
      </c>
      <c r="K27" s="146"/>
      <c r="L27" s="185"/>
      <c r="M27" s="185"/>
      <c r="N27" s="185"/>
      <c r="O27" s="185"/>
      <c r="P27" s="165" t="s">
        <v>184</v>
      </c>
      <c r="Q27" s="146" t="s">
        <v>156</v>
      </c>
      <c r="R27" s="185"/>
      <c r="S27" s="185"/>
      <c r="T27" s="185"/>
      <c r="U27" s="185"/>
      <c r="V27" s="185"/>
      <c r="W27" s="185"/>
      <c r="X27" s="186"/>
      <c r="Y27" s="133"/>
      <c r="Z27" s="95"/>
      <c r="AA27" s="95"/>
      <c r="AB27" s="96"/>
      <c r="AC27" s="357"/>
      <c r="AD27" s="358"/>
      <c r="AE27" s="358"/>
      <c r="AF27" s="359"/>
      <c r="AI27" s="109" t="str">
        <f>"55:" &amp; IF(AND(I27="□",P27="□",I28="□"),"tokusin_jyusho_code:0:tokusin_yakuzai_code:0:shuudan_comu_code:0",IF(I27="■","tokusin_jyusho_code:2","tokusin_jyusho_code:1")
&amp;IF(P27="■",":tokusin_yakuzai_code:2",":tokusin_yakuzai_code:1")
&amp;IF(I28="■",":shuudan_comu_code:2",":shuudan_comu_code:1"))</f>
        <v>55:tokusin_jyusho_code:0:tokusin_yakuzai_code:0:shuudan_comu_code:0</v>
      </c>
    </row>
    <row r="28" spans="1:38" s="109" customFormat="1" ht="18.75" customHeight="1" x14ac:dyDescent="0.15">
      <c r="A28" s="117" t="s">
        <v>184</v>
      </c>
      <c r="B28" s="98">
        <v>55</v>
      </c>
      <c r="C28" s="182" t="s">
        <v>106</v>
      </c>
      <c r="D28" s="117" t="s">
        <v>184</v>
      </c>
      <c r="E28" s="101" t="s">
        <v>114</v>
      </c>
      <c r="F28" s="117" t="s">
        <v>184</v>
      </c>
      <c r="G28" s="101" t="s">
        <v>177</v>
      </c>
      <c r="H28" s="362"/>
      <c r="I28" s="129" t="s">
        <v>184</v>
      </c>
      <c r="J28" s="105" t="s">
        <v>162</v>
      </c>
      <c r="K28" s="131"/>
      <c r="L28" s="131"/>
      <c r="M28" s="131"/>
      <c r="N28" s="131"/>
      <c r="O28" s="131"/>
      <c r="P28" s="131"/>
      <c r="Q28" s="93"/>
      <c r="R28" s="131"/>
      <c r="S28" s="131"/>
      <c r="T28" s="131"/>
      <c r="U28" s="131"/>
      <c r="V28" s="131"/>
      <c r="W28" s="131"/>
      <c r="X28" s="132"/>
      <c r="Y28" s="133"/>
      <c r="Z28" s="95"/>
      <c r="AA28" s="95"/>
      <c r="AB28" s="96"/>
      <c r="AC28" s="357"/>
      <c r="AD28" s="358"/>
      <c r="AE28" s="358"/>
      <c r="AF28" s="359"/>
    </row>
    <row r="29" spans="1:38" s="109" customFormat="1" ht="18.75" customHeight="1" x14ac:dyDescent="0.15">
      <c r="A29" s="97"/>
      <c r="B29" s="98"/>
      <c r="C29" s="182"/>
      <c r="D29" s="183"/>
      <c r="E29" s="101"/>
      <c r="F29" s="117" t="s">
        <v>184</v>
      </c>
      <c r="G29" s="101" t="s">
        <v>178</v>
      </c>
      <c r="H29" s="366" t="s">
        <v>91</v>
      </c>
      <c r="I29" s="164" t="s">
        <v>184</v>
      </c>
      <c r="J29" s="146" t="s">
        <v>163</v>
      </c>
      <c r="K29" s="151"/>
      <c r="L29" s="171"/>
      <c r="M29" s="165" t="s">
        <v>184</v>
      </c>
      <c r="N29" s="146" t="s">
        <v>164</v>
      </c>
      <c r="O29" s="185"/>
      <c r="P29" s="185"/>
      <c r="Q29" s="165" t="s">
        <v>184</v>
      </c>
      <c r="R29" s="146" t="s">
        <v>165</v>
      </c>
      <c r="S29" s="185"/>
      <c r="T29" s="185"/>
      <c r="U29" s="185"/>
      <c r="V29" s="185"/>
      <c r="W29" s="185"/>
      <c r="X29" s="186"/>
      <c r="Y29" s="133"/>
      <c r="Z29" s="95"/>
      <c r="AA29" s="95"/>
      <c r="AB29" s="96"/>
      <c r="AC29" s="357"/>
      <c r="AD29" s="358"/>
      <c r="AE29" s="358"/>
      <c r="AF29" s="359"/>
      <c r="AI29" s="109" t="str">
        <f>"55:"&amp;IF(AND(I29="□",M29="□",Q29="□",I30="□",Q30="□"),"koriha_rryoho1_code:0:koriha_sryoho_code:0:koriha_gengo_code:0:riha_seisin_code:0:koriha_other_code:0",IF(I29="■","koriha_rryoho1_code:2","koriha_rryoho1_code:1")
&amp;IF(M29="■",":koriha_sryoho_code:2",":koriha_sryoho_code:1")
&amp;IF(Q29="■",":koriha_gengo_code:2",":koriha_gengo_code:1")
&amp;IF(I30="■",":riha_seisin_code:2",":riha_seisin_code:1")
&amp;IF(Q30="■",":koriha_other_code:2",":koriha_other_code:1"))</f>
        <v>55:koriha_rryoho1_code:0:koriha_sryoho_code:0:koriha_gengo_code:0:riha_seisin_code:0:koriha_other_code:0</v>
      </c>
    </row>
    <row r="30" spans="1:38" s="109" customFormat="1" ht="18.75" customHeight="1" x14ac:dyDescent="0.15">
      <c r="A30" s="97"/>
      <c r="B30" s="98"/>
      <c r="C30" s="182"/>
      <c r="D30" s="183"/>
      <c r="E30" s="101"/>
      <c r="F30" s="183"/>
      <c r="G30" s="101"/>
      <c r="H30" s="362"/>
      <c r="I30" s="129" t="s">
        <v>184</v>
      </c>
      <c r="J30" s="105" t="s">
        <v>166</v>
      </c>
      <c r="K30" s="131"/>
      <c r="L30" s="131"/>
      <c r="M30" s="131"/>
      <c r="N30" s="131"/>
      <c r="O30" s="131"/>
      <c r="P30" s="131"/>
      <c r="Q30" s="113" t="s">
        <v>184</v>
      </c>
      <c r="R30" s="105" t="s">
        <v>167</v>
      </c>
      <c r="S30" s="130"/>
      <c r="T30" s="131"/>
      <c r="U30" s="131"/>
      <c r="V30" s="131"/>
      <c r="W30" s="131"/>
      <c r="X30" s="132"/>
      <c r="Y30" s="133"/>
      <c r="Z30" s="95"/>
      <c r="AA30" s="95"/>
      <c r="AB30" s="96"/>
      <c r="AC30" s="357"/>
      <c r="AD30" s="358"/>
      <c r="AE30" s="358"/>
      <c r="AF30" s="359"/>
    </row>
    <row r="31" spans="1:38" s="109" customFormat="1" ht="18.75" customHeight="1" x14ac:dyDescent="0.15">
      <c r="A31" s="97"/>
      <c r="B31" s="98"/>
      <c r="C31" s="182"/>
      <c r="D31" s="183"/>
      <c r="E31" s="101"/>
      <c r="F31" s="183"/>
      <c r="G31" s="101"/>
      <c r="H31" s="367" t="s">
        <v>202</v>
      </c>
      <c r="I31" s="369" t="s">
        <v>184</v>
      </c>
      <c r="J31" s="360" t="s">
        <v>142</v>
      </c>
      <c r="K31" s="360"/>
      <c r="L31" s="371" t="s">
        <v>184</v>
      </c>
      <c r="M31" s="360" t="s">
        <v>203</v>
      </c>
      <c r="N31" s="360"/>
      <c r="O31" s="360"/>
      <c r="P31" s="371" t="s">
        <v>184</v>
      </c>
      <c r="Q31" s="360" t="s">
        <v>204</v>
      </c>
      <c r="R31" s="360"/>
      <c r="S31" s="360"/>
      <c r="T31" s="371" t="s">
        <v>184</v>
      </c>
      <c r="U31" s="360" t="s">
        <v>205</v>
      </c>
      <c r="V31" s="360"/>
      <c r="W31" s="360"/>
      <c r="X31" s="373"/>
      <c r="Y31" s="133"/>
      <c r="Z31" s="95"/>
      <c r="AA31" s="95"/>
      <c r="AB31" s="96"/>
      <c r="AC31" s="357"/>
      <c r="AD31" s="358"/>
      <c r="AE31" s="358"/>
      <c r="AF31" s="359"/>
      <c r="AI31" s="109" t="str">
        <f>"55:"&amp;IF(AND(I31="□",L31="□",P31="□",T31="□"),"field236:0:field237:0:field238:0",IF(I31="■","field236:1:field237:1:field238:1",IF(L31="■","field236:2","field236:1")
&amp;IF(P31="■",":field237:2",":field237:1")
&amp;IF(T31="■",":field238:2",":field238:1")))</f>
        <v>55:field236:0:field237:0:field238:0</v>
      </c>
    </row>
    <row r="32" spans="1:38" s="109" customFormat="1" ht="18.75" customHeight="1" x14ac:dyDescent="0.15">
      <c r="A32" s="97"/>
      <c r="B32" s="98"/>
      <c r="C32" s="182"/>
      <c r="D32" s="183"/>
      <c r="E32" s="101"/>
      <c r="F32" s="102"/>
      <c r="G32" s="101"/>
      <c r="H32" s="368"/>
      <c r="I32" s="370"/>
      <c r="J32" s="361"/>
      <c r="K32" s="361"/>
      <c r="L32" s="372"/>
      <c r="M32" s="361"/>
      <c r="N32" s="361"/>
      <c r="O32" s="361"/>
      <c r="P32" s="372"/>
      <c r="Q32" s="361"/>
      <c r="R32" s="361"/>
      <c r="S32" s="361"/>
      <c r="T32" s="372"/>
      <c r="U32" s="361"/>
      <c r="V32" s="361"/>
      <c r="W32" s="361"/>
      <c r="X32" s="374"/>
      <c r="Y32" s="133"/>
      <c r="Z32" s="95"/>
      <c r="AA32" s="95"/>
      <c r="AB32" s="96"/>
      <c r="AC32" s="357"/>
      <c r="AD32" s="358"/>
      <c r="AE32" s="358"/>
      <c r="AF32" s="359"/>
    </row>
    <row r="33" spans="1:36" s="109" customFormat="1" ht="18.75" customHeight="1" x14ac:dyDescent="0.15">
      <c r="A33" s="97"/>
      <c r="B33" s="98"/>
      <c r="C33" s="182"/>
      <c r="D33" s="183"/>
      <c r="E33" s="101"/>
      <c r="F33" s="102"/>
      <c r="G33" s="101"/>
      <c r="H33" s="142" t="s">
        <v>97</v>
      </c>
      <c r="I33" s="129" t="s">
        <v>184</v>
      </c>
      <c r="J33" s="105" t="s">
        <v>142</v>
      </c>
      <c r="K33" s="150"/>
      <c r="L33" s="163" t="s">
        <v>184</v>
      </c>
      <c r="M33" s="105" t="s">
        <v>150</v>
      </c>
      <c r="N33" s="166"/>
      <c r="O33" s="140"/>
      <c r="P33" s="136"/>
      <c r="Q33" s="136"/>
      <c r="R33" s="136"/>
      <c r="S33" s="136"/>
      <c r="T33" s="136"/>
      <c r="U33" s="136"/>
      <c r="V33" s="136"/>
      <c r="W33" s="136"/>
      <c r="X33" s="144"/>
      <c r="Y33" s="133"/>
      <c r="Z33" s="95"/>
      <c r="AA33" s="95"/>
      <c r="AB33" s="96"/>
      <c r="AC33" s="357"/>
      <c r="AD33" s="358"/>
      <c r="AE33" s="358"/>
      <c r="AF33" s="359"/>
      <c r="AI33" s="109" t="str">
        <f>"55:ninti_riha_code:" &amp; IF(I33="■",1,IF(L33="■",2,0))</f>
        <v>55:ninti_riha_code:0</v>
      </c>
    </row>
    <row r="34" spans="1:36" s="109" customFormat="1" ht="18.75" customHeight="1" x14ac:dyDescent="0.15">
      <c r="A34" s="97"/>
      <c r="B34" s="98"/>
      <c r="C34" s="182"/>
      <c r="D34" s="183"/>
      <c r="E34" s="101"/>
      <c r="F34" s="102"/>
      <c r="G34" s="101"/>
      <c r="H34" s="177" t="s">
        <v>95</v>
      </c>
      <c r="I34" s="134" t="s">
        <v>184</v>
      </c>
      <c r="J34" s="135" t="s">
        <v>142</v>
      </c>
      <c r="K34" s="135"/>
      <c r="L34" s="138" t="s">
        <v>184</v>
      </c>
      <c r="M34" s="135" t="s">
        <v>143</v>
      </c>
      <c r="N34" s="135"/>
      <c r="O34" s="138" t="s">
        <v>184</v>
      </c>
      <c r="P34" s="135" t="s">
        <v>144</v>
      </c>
      <c r="Q34" s="140"/>
      <c r="R34" s="136"/>
      <c r="S34" s="136"/>
      <c r="T34" s="136"/>
      <c r="U34" s="136"/>
      <c r="V34" s="136"/>
      <c r="W34" s="136"/>
      <c r="X34" s="144"/>
      <c r="Y34" s="133"/>
      <c r="Z34" s="95"/>
      <c r="AA34" s="95"/>
      <c r="AB34" s="96"/>
      <c r="AC34" s="357"/>
      <c r="AD34" s="358"/>
      <c r="AE34" s="358"/>
      <c r="AF34" s="359"/>
      <c r="AI34" s="109" t="str">
        <f>"55:ninti_senmoncare_code:" &amp; IF(I34="■",1,IF(O34="■",3,IF(L34="■",2,0)))</f>
        <v>55:ninti_senmoncare_code:0</v>
      </c>
    </row>
    <row r="35" spans="1:36" s="109" customFormat="1" ht="18.75" customHeight="1" x14ac:dyDescent="0.15">
      <c r="A35" s="97"/>
      <c r="B35" s="98"/>
      <c r="C35" s="182"/>
      <c r="D35" s="183"/>
      <c r="E35" s="101"/>
      <c r="F35" s="102"/>
      <c r="G35" s="101"/>
      <c r="H35" s="177" t="s">
        <v>200</v>
      </c>
      <c r="I35" s="134" t="s">
        <v>184</v>
      </c>
      <c r="J35" s="135" t="s">
        <v>142</v>
      </c>
      <c r="K35" s="135"/>
      <c r="L35" s="138" t="s">
        <v>184</v>
      </c>
      <c r="M35" s="135" t="s">
        <v>143</v>
      </c>
      <c r="N35" s="135"/>
      <c r="O35" s="138" t="s">
        <v>184</v>
      </c>
      <c r="P35" s="135" t="s">
        <v>144</v>
      </c>
      <c r="Q35" s="136"/>
      <c r="R35" s="136"/>
      <c r="S35" s="136"/>
      <c r="T35" s="136"/>
      <c r="U35" s="136"/>
      <c r="V35" s="136"/>
      <c r="W35" s="136"/>
      <c r="X35" s="144"/>
      <c r="Y35" s="133"/>
      <c r="Z35" s="95"/>
      <c r="AA35" s="95"/>
      <c r="AB35" s="96"/>
      <c r="AC35" s="357"/>
      <c r="AD35" s="358"/>
      <c r="AE35" s="358"/>
      <c r="AF35" s="359"/>
      <c r="AI35" s="109" t="str">
        <f>"55:field228:" &amp; IF(I35="■",1,IF(L35="■",2,IF(O35="■",3,0)))</f>
        <v>55:field228:0</v>
      </c>
    </row>
    <row r="36" spans="1:36" s="109" customFormat="1" ht="18.75" customHeight="1" x14ac:dyDescent="0.15">
      <c r="A36" s="97"/>
      <c r="B36" s="98"/>
      <c r="C36" s="182"/>
      <c r="D36" s="183"/>
      <c r="E36" s="101"/>
      <c r="F36" s="102"/>
      <c r="G36" s="101"/>
      <c r="H36" s="177" t="s">
        <v>107</v>
      </c>
      <c r="I36" s="134" t="s">
        <v>184</v>
      </c>
      <c r="J36" s="135" t="s">
        <v>142</v>
      </c>
      <c r="K36" s="135"/>
      <c r="L36" s="138" t="s">
        <v>184</v>
      </c>
      <c r="M36" s="135" t="s">
        <v>143</v>
      </c>
      <c r="N36" s="135"/>
      <c r="O36" s="138" t="s">
        <v>184</v>
      </c>
      <c r="P36" s="135" t="s">
        <v>144</v>
      </c>
      <c r="Q36" s="140"/>
      <c r="R36" s="135"/>
      <c r="S36" s="135"/>
      <c r="T36" s="135"/>
      <c r="U36" s="135"/>
      <c r="V36" s="135"/>
      <c r="W36" s="135"/>
      <c r="X36" s="143"/>
      <c r="Y36" s="133"/>
      <c r="Z36" s="95"/>
      <c r="AA36" s="95"/>
      <c r="AB36" s="96"/>
      <c r="AC36" s="357"/>
      <c r="AD36" s="358"/>
      <c r="AE36" s="358"/>
      <c r="AF36" s="359"/>
      <c r="AI36" s="109" t="str">
        <f>"55:field164:" &amp; IF(I36="■",1,IF(L36="■",2,IF(O36="■",3,0)))</f>
        <v>55:field164:0</v>
      </c>
    </row>
    <row r="37" spans="1:36" s="109" customFormat="1" ht="18.75" customHeight="1" x14ac:dyDescent="0.15">
      <c r="A37" s="97"/>
      <c r="B37" s="98"/>
      <c r="C37" s="182"/>
      <c r="D37" s="183"/>
      <c r="E37" s="101"/>
      <c r="F37" s="102"/>
      <c r="G37" s="101"/>
      <c r="H37" s="176" t="s">
        <v>122</v>
      </c>
      <c r="I37" s="129" t="s">
        <v>184</v>
      </c>
      <c r="J37" s="105" t="s">
        <v>142</v>
      </c>
      <c r="K37" s="150"/>
      <c r="L37" s="163" t="s">
        <v>184</v>
      </c>
      <c r="M37" s="105" t="s">
        <v>150</v>
      </c>
      <c r="N37" s="166"/>
      <c r="O37" s="140"/>
      <c r="P37" s="136"/>
      <c r="Q37" s="136"/>
      <c r="R37" s="136"/>
      <c r="S37" s="136"/>
      <c r="T37" s="136"/>
      <c r="U37" s="136"/>
      <c r="V37" s="136"/>
      <c r="W37" s="136"/>
      <c r="X37" s="144"/>
      <c r="Y37" s="133"/>
      <c r="Z37" s="95"/>
      <c r="AA37" s="95"/>
      <c r="AB37" s="96"/>
      <c r="AC37" s="357"/>
      <c r="AD37" s="358"/>
      <c r="AE37" s="358"/>
      <c r="AF37" s="359"/>
      <c r="AI37" s="109" t="str">
        <f>"55:field210:" &amp; IF(I37="■",1,IF(L37="■",2,0))</f>
        <v>55:field210:0</v>
      </c>
    </row>
    <row r="38" spans="1:36" s="109" customFormat="1" ht="18.75" customHeight="1" x14ac:dyDescent="0.15">
      <c r="A38" s="97"/>
      <c r="B38" s="98"/>
      <c r="C38" s="182"/>
      <c r="D38" s="183"/>
      <c r="E38" s="101"/>
      <c r="F38" s="102"/>
      <c r="G38" s="101"/>
      <c r="H38" s="177" t="s">
        <v>131</v>
      </c>
      <c r="I38" s="129" t="s">
        <v>184</v>
      </c>
      <c r="J38" s="105" t="s">
        <v>142</v>
      </c>
      <c r="K38" s="150"/>
      <c r="L38" s="163" t="s">
        <v>184</v>
      </c>
      <c r="M38" s="105" t="s">
        <v>150</v>
      </c>
      <c r="N38" s="166"/>
      <c r="O38" s="140"/>
      <c r="P38" s="136"/>
      <c r="Q38" s="136"/>
      <c r="R38" s="136"/>
      <c r="S38" s="136"/>
      <c r="T38" s="136"/>
      <c r="U38" s="136"/>
      <c r="V38" s="136"/>
      <c r="W38" s="136"/>
      <c r="X38" s="144"/>
      <c r="Y38" s="133"/>
      <c r="Z38" s="95"/>
      <c r="AA38" s="95"/>
      <c r="AB38" s="96"/>
      <c r="AC38" s="357"/>
      <c r="AD38" s="358"/>
      <c r="AE38" s="358"/>
      <c r="AF38" s="359"/>
      <c r="AI38" s="109" t="str">
        <f>"55:field211:" &amp; IF(I38="■",1,IF(L38="■",2,0))</f>
        <v>55:field211:0</v>
      </c>
    </row>
    <row r="39" spans="1:36" s="109" customFormat="1" ht="18.75" customHeight="1" x14ac:dyDescent="0.15">
      <c r="A39" s="97"/>
      <c r="B39" s="98"/>
      <c r="C39" s="182"/>
      <c r="D39" s="183"/>
      <c r="E39" s="101"/>
      <c r="F39" s="102"/>
      <c r="G39" s="101"/>
      <c r="H39" s="177" t="s">
        <v>121</v>
      </c>
      <c r="I39" s="129" t="s">
        <v>184</v>
      </c>
      <c r="J39" s="105" t="s">
        <v>142</v>
      </c>
      <c r="K39" s="150"/>
      <c r="L39" s="163" t="s">
        <v>184</v>
      </c>
      <c r="M39" s="105" t="s">
        <v>150</v>
      </c>
      <c r="N39" s="166"/>
      <c r="O39" s="140"/>
      <c r="P39" s="136"/>
      <c r="Q39" s="136"/>
      <c r="R39" s="136"/>
      <c r="S39" s="136"/>
      <c r="T39" s="136"/>
      <c r="U39" s="136"/>
      <c r="V39" s="136"/>
      <c r="W39" s="136"/>
      <c r="X39" s="144"/>
      <c r="Y39" s="133"/>
      <c r="Z39" s="95"/>
      <c r="AA39" s="95"/>
      <c r="AB39" s="96"/>
      <c r="AC39" s="357"/>
      <c r="AD39" s="358"/>
      <c r="AE39" s="358"/>
      <c r="AF39" s="359"/>
      <c r="AI39" s="109" t="str">
        <f>"55:field212:" &amp; IF(I39="■",1,IF(L39="■",2,0))</f>
        <v>55:field212:0</v>
      </c>
    </row>
    <row r="40" spans="1:36" s="109" customFormat="1" ht="18.75" customHeight="1" x14ac:dyDescent="0.15">
      <c r="A40" s="97"/>
      <c r="B40" s="98"/>
      <c r="C40" s="182"/>
      <c r="D40" s="183"/>
      <c r="E40" s="101"/>
      <c r="F40" s="102"/>
      <c r="G40" s="101"/>
      <c r="H40" s="177" t="s">
        <v>127</v>
      </c>
      <c r="I40" s="129" t="s">
        <v>184</v>
      </c>
      <c r="J40" s="105" t="s">
        <v>142</v>
      </c>
      <c r="K40" s="150"/>
      <c r="L40" s="163" t="s">
        <v>184</v>
      </c>
      <c r="M40" s="105" t="s">
        <v>150</v>
      </c>
      <c r="N40" s="166"/>
      <c r="O40" s="140"/>
      <c r="P40" s="136"/>
      <c r="Q40" s="136"/>
      <c r="R40" s="136"/>
      <c r="S40" s="136"/>
      <c r="T40" s="136"/>
      <c r="U40" s="136"/>
      <c r="V40" s="136"/>
      <c r="W40" s="136"/>
      <c r="X40" s="144"/>
      <c r="Y40" s="133"/>
      <c r="Z40" s="95"/>
      <c r="AA40" s="95"/>
      <c r="AB40" s="96"/>
      <c r="AC40" s="357"/>
      <c r="AD40" s="358"/>
      <c r="AE40" s="358"/>
      <c r="AF40" s="359"/>
      <c r="AI40" s="109" t="str">
        <f>"55:field209:" &amp; IF(I40="■",1,IF(L40="■",2,0))</f>
        <v>55:field209:0</v>
      </c>
    </row>
    <row r="41" spans="1:36" s="109" customFormat="1" ht="18.75" customHeight="1" x14ac:dyDescent="0.15">
      <c r="A41" s="97"/>
      <c r="B41" s="98"/>
      <c r="C41" s="182"/>
      <c r="D41" s="183"/>
      <c r="E41" s="101"/>
      <c r="F41" s="102"/>
      <c r="G41" s="101"/>
      <c r="H41" s="177" t="s">
        <v>206</v>
      </c>
      <c r="I41" s="134" t="s">
        <v>184</v>
      </c>
      <c r="J41" s="135" t="s">
        <v>142</v>
      </c>
      <c r="K41" s="135"/>
      <c r="L41" s="138" t="s">
        <v>184</v>
      </c>
      <c r="M41" s="105" t="s">
        <v>150</v>
      </c>
      <c r="N41" s="135"/>
      <c r="O41" s="135"/>
      <c r="P41" s="135"/>
      <c r="Q41" s="136"/>
      <c r="R41" s="136"/>
      <c r="S41" s="136"/>
      <c r="T41" s="136"/>
      <c r="U41" s="136"/>
      <c r="V41" s="136"/>
      <c r="W41" s="136"/>
      <c r="X41" s="144"/>
      <c r="Y41" s="133"/>
      <c r="Z41" s="95"/>
      <c r="AA41" s="95"/>
      <c r="AB41" s="96"/>
      <c r="AC41" s="357"/>
      <c r="AD41" s="358"/>
      <c r="AE41" s="358"/>
      <c r="AF41" s="359"/>
      <c r="AI41" s="109" t="str">
        <f>"55:field226:" &amp; IF(I41="■",1,IF(L41="■",2,0))</f>
        <v>55:field226:0</v>
      </c>
    </row>
    <row r="42" spans="1:36" s="109" customFormat="1" ht="18.75" customHeight="1" x14ac:dyDescent="0.15">
      <c r="A42" s="97"/>
      <c r="B42" s="98"/>
      <c r="C42" s="182"/>
      <c r="D42" s="183"/>
      <c r="E42" s="101"/>
      <c r="F42" s="102"/>
      <c r="G42" s="101"/>
      <c r="H42" s="177" t="s">
        <v>207</v>
      </c>
      <c r="I42" s="134" t="s">
        <v>184</v>
      </c>
      <c r="J42" s="135" t="s">
        <v>142</v>
      </c>
      <c r="K42" s="135"/>
      <c r="L42" s="138" t="s">
        <v>184</v>
      </c>
      <c r="M42" s="105" t="s">
        <v>150</v>
      </c>
      <c r="N42" s="135"/>
      <c r="O42" s="135"/>
      <c r="P42" s="135"/>
      <c r="Q42" s="136"/>
      <c r="R42" s="136"/>
      <c r="S42" s="136"/>
      <c r="T42" s="136"/>
      <c r="U42" s="136"/>
      <c r="V42" s="136"/>
      <c r="W42" s="136"/>
      <c r="X42" s="144"/>
      <c r="Y42" s="133"/>
      <c r="Z42" s="95"/>
      <c r="AA42" s="95"/>
      <c r="AB42" s="96"/>
      <c r="AC42" s="357"/>
      <c r="AD42" s="358"/>
      <c r="AE42" s="358"/>
      <c r="AF42" s="359"/>
      <c r="AI42" s="109" t="str">
        <f>"55:field227:" &amp; IF(I42="■",1,IF(L42="■",2,0))</f>
        <v>55:field227:0</v>
      </c>
    </row>
    <row r="43" spans="1:36" s="109" customFormat="1" ht="18.75" customHeight="1" x14ac:dyDescent="0.15">
      <c r="A43" s="97"/>
      <c r="B43" s="98"/>
      <c r="C43" s="182"/>
      <c r="D43" s="183"/>
      <c r="E43" s="101"/>
      <c r="F43" s="102"/>
      <c r="G43" s="101"/>
      <c r="H43" s="184" t="s">
        <v>199</v>
      </c>
      <c r="I43" s="134" t="s">
        <v>184</v>
      </c>
      <c r="J43" s="135" t="s">
        <v>142</v>
      </c>
      <c r="K43" s="135"/>
      <c r="L43" s="138" t="s">
        <v>184</v>
      </c>
      <c r="M43" s="135" t="s">
        <v>143</v>
      </c>
      <c r="N43" s="135"/>
      <c r="O43" s="138" t="s">
        <v>184</v>
      </c>
      <c r="P43" s="135" t="s">
        <v>144</v>
      </c>
      <c r="Q43" s="140"/>
      <c r="R43" s="140"/>
      <c r="S43" s="140"/>
      <c r="T43" s="140"/>
      <c r="U43" s="185"/>
      <c r="V43" s="185"/>
      <c r="W43" s="185"/>
      <c r="X43" s="186"/>
      <c r="Y43" s="133"/>
      <c r="Z43" s="95"/>
      <c r="AA43" s="95"/>
      <c r="AB43" s="96"/>
      <c r="AC43" s="357"/>
      <c r="AD43" s="358"/>
      <c r="AE43" s="358"/>
      <c r="AF43" s="359"/>
      <c r="AI43" s="109" t="str">
        <f>"55:field225:" &amp; IF(I43="■",1,IF(L43="■",2,IF(O43="■",3,0)))</f>
        <v>55:field225:0</v>
      </c>
    </row>
    <row r="44" spans="1:36" s="109" customFormat="1" ht="18.75" customHeight="1" x14ac:dyDescent="0.15">
      <c r="A44" s="97"/>
      <c r="B44" s="98"/>
      <c r="C44" s="182"/>
      <c r="D44" s="183"/>
      <c r="E44" s="101"/>
      <c r="F44" s="102"/>
      <c r="G44" s="101"/>
      <c r="H44" s="177" t="s">
        <v>96</v>
      </c>
      <c r="I44" s="134" t="s">
        <v>184</v>
      </c>
      <c r="J44" s="135" t="s">
        <v>142</v>
      </c>
      <c r="K44" s="135"/>
      <c r="L44" s="138" t="s">
        <v>184</v>
      </c>
      <c r="M44" s="135" t="s">
        <v>146</v>
      </c>
      <c r="N44" s="135"/>
      <c r="O44" s="138" t="s">
        <v>184</v>
      </c>
      <c r="P44" s="135" t="s">
        <v>147</v>
      </c>
      <c r="Q44" s="166"/>
      <c r="R44" s="138" t="s">
        <v>184</v>
      </c>
      <c r="S44" s="135" t="s">
        <v>151</v>
      </c>
      <c r="T44" s="135"/>
      <c r="U44" s="135"/>
      <c r="V44" s="135"/>
      <c r="W44" s="135"/>
      <c r="X44" s="143"/>
      <c r="Y44" s="133"/>
      <c r="Z44" s="95"/>
      <c r="AA44" s="95"/>
      <c r="AB44" s="96"/>
      <c r="AC44" s="357"/>
      <c r="AD44" s="358"/>
      <c r="AE44" s="358"/>
      <c r="AF44" s="359"/>
      <c r="AI44" s="109" t="str">
        <f>"55:serteikyo_kyoka_code:" &amp; IF(I44="■",1,IF(L44="■",6,IF(O44="■",5,IF(R44="■",7,0))))</f>
        <v>55:serteikyo_kyoka_code:0</v>
      </c>
    </row>
    <row r="45" spans="1:36" s="109" customFormat="1" ht="18.75" customHeight="1" x14ac:dyDescent="0.15">
      <c r="A45" s="152"/>
      <c r="B45" s="153"/>
      <c r="C45" s="154"/>
      <c r="D45" s="155"/>
      <c r="E45" s="156"/>
      <c r="F45" s="157"/>
      <c r="G45" s="158"/>
      <c r="H45" s="85" t="s">
        <v>208</v>
      </c>
      <c r="I45" s="159" t="s">
        <v>184</v>
      </c>
      <c r="J45" s="86" t="s">
        <v>142</v>
      </c>
      <c r="K45" s="86"/>
      <c r="L45" s="160" t="s">
        <v>184</v>
      </c>
      <c r="M45" s="86" t="s">
        <v>195</v>
      </c>
      <c r="N45" s="87"/>
      <c r="O45" s="160" t="s">
        <v>184</v>
      </c>
      <c r="P45" s="89" t="s">
        <v>196</v>
      </c>
      <c r="Q45" s="88"/>
      <c r="R45" s="160" t="s">
        <v>184</v>
      </c>
      <c r="S45" s="86" t="s">
        <v>197</v>
      </c>
      <c r="T45" s="88"/>
      <c r="U45" s="160" t="s">
        <v>184</v>
      </c>
      <c r="V45" s="86" t="s">
        <v>198</v>
      </c>
      <c r="W45" s="90"/>
      <c r="X45" s="91"/>
      <c r="Y45" s="161"/>
      <c r="Z45" s="161"/>
      <c r="AA45" s="161"/>
      <c r="AB45" s="162"/>
      <c r="AC45" s="363"/>
      <c r="AD45" s="364"/>
      <c r="AE45" s="364"/>
      <c r="AF45" s="365"/>
      <c r="AI45" s="109" t="str">
        <f>"55:shoguukaizen_code:"&amp;IF(I45="■",1,IF(L45="■",7,IF(O45="■",8,IF(R45="■",9,IF(U45="■","A",0)))))</f>
        <v>55:shoguukaizen_code:0</v>
      </c>
    </row>
    <row r="46" spans="1:36" s="109" customFormat="1" ht="18.75" customHeight="1" x14ac:dyDescent="0.15">
      <c r="A46" s="119"/>
      <c r="B46" s="120"/>
      <c r="C46" s="189"/>
      <c r="D46" s="190"/>
      <c r="E46" s="116"/>
      <c r="F46" s="123"/>
      <c r="G46" s="116"/>
      <c r="H46" s="352" t="s">
        <v>89</v>
      </c>
      <c r="I46" s="128" t="s">
        <v>184</v>
      </c>
      <c r="J46" s="114" t="s">
        <v>153</v>
      </c>
      <c r="K46" s="126"/>
      <c r="L46" s="179"/>
      <c r="M46" s="125" t="s">
        <v>184</v>
      </c>
      <c r="N46" s="114" t="s">
        <v>157</v>
      </c>
      <c r="O46" s="179"/>
      <c r="P46" s="179"/>
      <c r="Q46" s="125" t="s">
        <v>184</v>
      </c>
      <c r="R46" s="114" t="s">
        <v>158</v>
      </c>
      <c r="S46" s="179"/>
      <c r="T46" s="179"/>
      <c r="U46" s="125" t="s">
        <v>184</v>
      </c>
      <c r="V46" s="114" t="s">
        <v>159</v>
      </c>
      <c r="W46" s="179"/>
      <c r="X46" s="172"/>
      <c r="Y46" s="128" t="s">
        <v>184</v>
      </c>
      <c r="Z46" s="114" t="s">
        <v>141</v>
      </c>
      <c r="AA46" s="114"/>
      <c r="AB46" s="127"/>
      <c r="AC46" s="354"/>
      <c r="AD46" s="355"/>
      <c r="AE46" s="355"/>
      <c r="AF46" s="356"/>
      <c r="AG46" s="109" t="str">
        <f>"ser_code = '" &amp; IF(A56="■",55,"") &amp; "'"</f>
        <v>ser_code = ''</v>
      </c>
      <c r="AH46" s="109" t="str">
        <f>"55:jininkbn_code:" &amp; IF(F56="■",1,IF(F57="■",2,0))</f>
        <v>55:jininkbn_code:0</v>
      </c>
      <c r="AI46" s="109" t="str">
        <f>"55:yakan_kinmu_code:" &amp; IF(I46="■",1,IF(M46="■",2,IF(Q46="■",3,IF(U46="■",AJ6643,IF(I47="■",5,IF(M47="■",6,0))))))</f>
        <v>55:yakan_kinmu_code:0</v>
      </c>
      <c r="AJ46" s="109" t="str">
        <f>"55:field203:" &amp; IF(Y46="■",1,IF(Y47="■",2,0))</f>
        <v>55:field203:0</v>
      </c>
    </row>
    <row r="47" spans="1:36" s="109" customFormat="1" ht="18.75" customHeight="1" x14ac:dyDescent="0.15">
      <c r="A47" s="97"/>
      <c r="B47" s="98"/>
      <c r="C47" s="182"/>
      <c r="D47" s="183"/>
      <c r="E47" s="101"/>
      <c r="F47" s="102"/>
      <c r="G47" s="101"/>
      <c r="H47" s="362"/>
      <c r="I47" s="129" t="s">
        <v>184</v>
      </c>
      <c r="J47" s="105" t="s">
        <v>160</v>
      </c>
      <c r="K47" s="150"/>
      <c r="L47" s="130"/>
      <c r="M47" s="163" t="s">
        <v>184</v>
      </c>
      <c r="N47" s="105" t="s">
        <v>154</v>
      </c>
      <c r="O47" s="130"/>
      <c r="P47" s="130"/>
      <c r="Q47" s="130"/>
      <c r="R47" s="130"/>
      <c r="S47" s="130"/>
      <c r="T47" s="130"/>
      <c r="U47" s="130"/>
      <c r="V47" s="130"/>
      <c r="W47" s="130"/>
      <c r="X47" s="175"/>
      <c r="Y47" s="117" t="s">
        <v>184</v>
      </c>
      <c r="Z47" s="94" t="s">
        <v>145</v>
      </c>
      <c r="AA47" s="95"/>
      <c r="AB47" s="96"/>
      <c r="AC47" s="357"/>
      <c r="AD47" s="358"/>
      <c r="AE47" s="358"/>
      <c r="AF47" s="359"/>
      <c r="AG47" s="109" t="str">
        <f>"55:sisetukbn_code:" &amp; IF(D56="■",3,0)</f>
        <v>55:sisetukbn_code:0</v>
      </c>
    </row>
    <row r="48" spans="1:36" s="109" customFormat="1" ht="18.75" customHeight="1" x14ac:dyDescent="0.15">
      <c r="A48" s="97"/>
      <c r="B48" s="98"/>
      <c r="C48" s="182"/>
      <c r="D48" s="183"/>
      <c r="E48" s="101"/>
      <c r="F48" s="102"/>
      <c r="G48" s="101"/>
      <c r="H48" s="366" t="s">
        <v>87</v>
      </c>
      <c r="I48" s="164" t="s">
        <v>184</v>
      </c>
      <c r="J48" s="146" t="s">
        <v>142</v>
      </c>
      <c r="K48" s="146"/>
      <c r="L48" s="168"/>
      <c r="M48" s="165" t="s">
        <v>184</v>
      </c>
      <c r="N48" s="146" t="s">
        <v>152</v>
      </c>
      <c r="O48" s="146"/>
      <c r="P48" s="168"/>
      <c r="Q48" s="165" t="s">
        <v>184</v>
      </c>
      <c r="R48" s="168" t="s">
        <v>173</v>
      </c>
      <c r="S48" s="168"/>
      <c r="T48" s="168"/>
      <c r="U48" s="165" t="s">
        <v>184</v>
      </c>
      <c r="V48" s="168" t="s">
        <v>174</v>
      </c>
      <c r="W48" s="185"/>
      <c r="X48" s="186"/>
      <c r="Y48" s="133"/>
      <c r="Z48" s="95"/>
      <c r="AA48" s="95"/>
      <c r="AB48" s="96"/>
      <c r="AC48" s="357"/>
      <c r="AD48" s="358"/>
      <c r="AE48" s="358"/>
      <c r="AF48" s="359"/>
      <c r="AI48" s="109" t="str">
        <f>"55:"&amp;IF(AND(I48="□",M48="□",Q48="□",U48="□",I49="□",M49="□"),"ketu_doctor_code:0",IF(I48="■","ketu_doctor_code:1:field197:1:ketu_kangos_code:1:ketu_kshoku_code:1:ketu_ksiensou_code:1",IF(M48="■","ketu_doctor_code:2","ketu_doctor_code:1")
&amp;IF(Q48="■",":field197:2",":field197:1")
&amp;IF(U48="■",":ketu_kangos_code:2",":ketu_kangos_code:1")
&amp;IF(I49="■",":ketu_kshoku_code:2",":ketu_kshoku_code:1")
&amp;IF(M49="■",":ketu_ksiensou_code:2",":ketu_ksiensou_code:1")))</f>
        <v>55:ketu_doctor_code:0</v>
      </c>
    </row>
    <row r="49" spans="1:35" s="109" customFormat="1" ht="18.75" customHeight="1" x14ac:dyDescent="0.15">
      <c r="A49" s="97"/>
      <c r="B49" s="98"/>
      <c r="C49" s="182"/>
      <c r="D49" s="183"/>
      <c r="E49" s="101"/>
      <c r="F49" s="102"/>
      <c r="G49" s="101"/>
      <c r="H49" s="362"/>
      <c r="I49" s="129" t="s">
        <v>184</v>
      </c>
      <c r="J49" s="130" t="s">
        <v>175</v>
      </c>
      <c r="K49" s="105"/>
      <c r="L49" s="130"/>
      <c r="M49" s="163" t="s">
        <v>184</v>
      </c>
      <c r="N49" s="105" t="s">
        <v>189</v>
      </c>
      <c r="O49" s="105"/>
      <c r="P49" s="130"/>
      <c r="Q49" s="130"/>
      <c r="R49" s="130"/>
      <c r="S49" s="130"/>
      <c r="T49" s="130"/>
      <c r="U49" s="130"/>
      <c r="V49" s="130"/>
      <c r="W49" s="131"/>
      <c r="X49" s="132"/>
      <c r="Y49" s="133"/>
      <c r="Z49" s="95"/>
      <c r="AA49" s="95"/>
      <c r="AB49" s="96"/>
      <c r="AC49" s="357"/>
      <c r="AD49" s="358"/>
      <c r="AE49" s="358"/>
      <c r="AF49" s="359"/>
    </row>
    <row r="50" spans="1:35" s="109" customFormat="1" ht="18.75" customHeight="1" x14ac:dyDescent="0.15">
      <c r="A50" s="97"/>
      <c r="B50" s="98"/>
      <c r="C50" s="182"/>
      <c r="D50" s="183"/>
      <c r="E50" s="101"/>
      <c r="F50" s="102"/>
      <c r="G50" s="101"/>
      <c r="H50" s="177" t="s">
        <v>92</v>
      </c>
      <c r="I50" s="134" t="s">
        <v>184</v>
      </c>
      <c r="J50" s="135" t="s">
        <v>185</v>
      </c>
      <c r="K50" s="136"/>
      <c r="L50" s="137"/>
      <c r="M50" s="138" t="s">
        <v>184</v>
      </c>
      <c r="N50" s="135" t="s">
        <v>186</v>
      </c>
      <c r="O50" s="140"/>
      <c r="P50" s="136"/>
      <c r="Q50" s="136"/>
      <c r="R50" s="136"/>
      <c r="S50" s="136"/>
      <c r="T50" s="136"/>
      <c r="U50" s="136"/>
      <c r="V50" s="136"/>
      <c r="W50" s="136"/>
      <c r="X50" s="144"/>
      <c r="Y50" s="133"/>
      <c r="Z50" s="95"/>
      <c r="AA50" s="95"/>
      <c r="AB50" s="96"/>
      <c r="AC50" s="357"/>
      <c r="AD50" s="358"/>
      <c r="AE50" s="358"/>
      <c r="AF50" s="359"/>
      <c r="AI50" s="109" t="str">
        <f>"55:sintaikousoku_code:" &amp; IF(I50="■",1,IF(M50="■",2,0))</f>
        <v>55:sintaikousoku_code:0</v>
      </c>
    </row>
    <row r="51" spans="1:35" s="109" customFormat="1" ht="18.75" customHeight="1" x14ac:dyDescent="0.15">
      <c r="A51" s="97"/>
      <c r="B51" s="98"/>
      <c r="C51" s="182"/>
      <c r="D51" s="183"/>
      <c r="E51" s="101"/>
      <c r="F51" s="102"/>
      <c r="G51" s="101"/>
      <c r="H51" s="177" t="s">
        <v>124</v>
      </c>
      <c r="I51" s="134" t="s">
        <v>184</v>
      </c>
      <c r="J51" s="135" t="s">
        <v>185</v>
      </c>
      <c r="K51" s="136"/>
      <c r="L51" s="137"/>
      <c r="M51" s="138" t="s">
        <v>184</v>
      </c>
      <c r="N51" s="135" t="s">
        <v>186</v>
      </c>
      <c r="O51" s="140"/>
      <c r="P51" s="136"/>
      <c r="Q51" s="136"/>
      <c r="R51" s="136"/>
      <c r="S51" s="136"/>
      <c r="T51" s="136"/>
      <c r="U51" s="136"/>
      <c r="V51" s="136"/>
      <c r="W51" s="136"/>
      <c r="X51" s="144"/>
      <c r="Y51" s="133"/>
      <c r="Z51" s="95"/>
      <c r="AA51" s="95"/>
      <c r="AB51" s="96"/>
      <c r="AC51" s="357"/>
      <c r="AD51" s="358"/>
      <c r="AE51" s="358"/>
      <c r="AF51" s="359"/>
      <c r="AI51" s="109" t="str">
        <f>"55:field208:" &amp; IF(I51="■",1,IF(M51="■",2,0))</f>
        <v>55:field208:0</v>
      </c>
    </row>
    <row r="52" spans="1:35" s="109" customFormat="1" ht="19.5" customHeight="1" x14ac:dyDescent="0.15">
      <c r="A52" s="97"/>
      <c r="B52" s="98"/>
      <c r="C52" s="99"/>
      <c r="D52" s="100"/>
      <c r="E52" s="101"/>
      <c r="F52" s="102"/>
      <c r="G52" s="103"/>
      <c r="H52" s="104" t="s">
        <v>192</v>
      </c>
      <c r="I52" s="134" t="s">
        <v>184</v>
      </c>
      <c r="J52" s="135" t="s">
        <v>185</v>
      </c>
      <c r="K52" s="136"/>
      <c r="L52" s="137"/>
      <c r="M52" s="138" t="s">
        <v>184</v>
      </c>
      <c r="N52" s="135" t="s">
        <v>193</v>
      </c>
      <c r="O52" s="139"/>
      <c r="P52" s="135"/>
      <c r="Q52" s="140"/>
      <c r="R52" s="140"/>
      <c r="S52" s="140"/>
      <c r="T52" s="140"/>
      <c r="U52" s="140"/>
      <c r="V52" s="140"/>
      <c r="W52" s="140"/>
      <c r="X52" s="141"/>
      <c r="Y52" s="95"/>
      <c r="Z52" s="95"/>
      <c r="AA52" s="95"/>
      <c r="AB52" s="96"/>
      <c r="AC52" s="357"/>
      <c r="AD52" s="358"/>
      <c r="AE52" s="358"/>
      <c r="AF52" s="359"/>
      <c r="AI52" s="109" t="str">
        <f>"55:field223:" &amp; IF(I52="■",1,IF(M52="■",2,0))</f>
        <v>55:field223:0</v>
      </c>
    </row>
    <row r="53" spans="1:35" s="109" customFormat="1" ht="19.5" customHeight="1" x14ac:dyDescent="0.15">
      <c r="A53" s="97"/>
      <c r="B53" s="98"/>
      <c r="C53" s="99"/>
      <c r="D53" s="100"/>
      <c r="E53" s="101"/>
      <c r="F53" s="102"/>
      <c r="G53" s="103"/>
      <c r="H53" s="104" t="s">
        <v>201</v>
      </c>
      <c r="I53" s="134" t="s">
        <v>184</v>
      </c>
      <c r="J53" s="135" t="s">
        <v>185</v>
      </c>
      <c r="K53" s="136"/>
      <c r="L53" s="137"/>
      <c r="M53" s="138" t="s">
        <v>184</v>
      </c>
      <c r="N53" s="135" t="s">
        <v>193</v>
      </c>
      <c r="O53" s="139"/>
      <c r="P53" s="135"/>
      <c r="Q53" s="140"/>
      <c r="R53" s="140"/>
      <c r="S53" s="140"/>
      <c r="T53" s="140"/>
      <c r="U53" s="140"/>
      <c r="V53" s="140"/>
      <c r="W53" s="140"/>
      <c r="X53" s="141"/>
      <c r="Y53" s="95"/>
      <c r="Z53" s="95"/>
      <c r="AA53" s="95"/>
      <c r="AB53" s="96"/>
      <c r="AC53" s="357"/>
      <c r="AD53" s="358"/>
      <c r="AE53" s="358"/>
      <c r="AF53" s="359"/>
      <c r="AI53" s="109" t="str">
        <f>"55:field232:" &amp; IF(I53="■",1,IF(M53="■",2,0))</f>
        <v>55:field232:0</v>
      </c>
    </row>
    <row r="54" spans="1:35" s="109" customFormat="1" ht="18.75" customHeight="1" x14ac:dyDescent="0.15">
      <c r="A54" s="97"/>
      <c r="B54" s="98"/>
      <c r="C54" s="182"/>
      <c r="D54" s="183"/>
      <c r="E54" s="101"/>
      <c r="F54" s="102"/>
      <c r="G54" s="101"/>
      <c r="H54" s="367" t="s">
        <v>125</v>
      </c>
      <c r="I54" s="369" t="s">
        <v>184</v>
      </c>
      <c r="J54" s="360" t="s">
        <v>142</v>
      </c>
      <c r="K54" s="360"/>
      <c r="L54" s="371" t="s">
        <v>184</v>
      </c>
      <c r="M54" s="360" t="s">
        <v>150</v>
      </c>
      <c r="N54" s="360"/>
      <c r="O54" s="168"/>
      <c r="P54" s="168"/>
      <c r="Q54" s="168"/>
      <c r="R54" s="168"/>
      <c r="S54" s="168"/>
      <c r="T54" s="168"/>
      <c r="U54" s="168"/>
      <c r="V54" s="168"/>
      <c r="W54" s="168"/>
      <c r="X54" s="169"/>
      <c r="Y54" s="133"/>
      <c r="Z54" s="95"/>
      <c r="AA54" s="95"/>
      <c r="AB54" s="96"/>
      <c r="AC54" s="357"/>
      <c r="AD54" s="358"/>
      <c r="AE54" s="358"/>
      <c r="AF54" s="359"/>
      <c r="AI54" s="109" t="str">
        <f>"55:field206:" &amp; IF(I54="■",1,IF(L54="■",2,0))</f>
        <v>55:field206:0</v>
      </c>
    </row>
    <row r="55" spans="1:35" s="109" customFormat="1" ht="18.75" customHeight="1" x14ac:dyDescent="0.15">
      <c r="A55" s="97"/>
      <c r="B55" s="98"/>
      <c r="C55" s="182"/>
      <c r="D55" s="183"/>
      <c r="E55" s="101"/>
      <c r="F55" s="102"/>
      <c r="G55" s="101"/>
      <c r="H55" s="368"/>
      <c r="I55" s="370"/>
      <c r="J55" s="361"/>
      <c r="K55" s="361"/>
      <c r="L55" s="372"/>
      <c r="M55" s="361"/>
      <c r="N55" s="361"/>
      <c r="O55" s="130"/>
      <c r="P55" s="130"/>
      <c r="Q55" s="130"/>
      <c r="R55" s="130"/>
      <c r="S55" s="130"/>
      <c r="T55" s="130"/>
      <c r="U55" s="130"/>
      <c r="V55" s="130"/>
      <c r="W55" s="130"/>
      <c r="X55" s="175"/>
      <c r="Y55" s="133"/>
      <c r="Z55" s="95"/>
      <c r="AA55" s="95"/>
      <c r="AB55" s="96"/>
      <c r="AC55" s="357"/>
      <c r="AD55" s="358"/>
      <c r="AE55" s="358"/>
      <c r="AF55" s="359"/>
    </row>
    <row r="56" spans="1:35" s="109" customFormat="1" ht="18.75" customHeight="1" x14ac:dyDescent="0.15">
      <c r="A56" s="117" t="s">
        <v>184</v>
      </c>
      <c r="B56" s="98">
        <v>55</v>
      </c>
      <c r="C56" s="182" t="s">
        <v>190</v>
      </c>
      <c r="D56" s="117" t="s">
        <v>184</v>
      </c>
      <c r="E56" s="101" t="s">
        <v>181</v>
      </c>
      <c r="F56" s="117" t="s">
        <v>184</v>
      </c>
      <c r="G56" s="101" t="s">
        <v>180</v>
      </c>
      <c r="H56" s="177" t="s">
        <v>112</v>
      </c>
      <c r="I56" s="134" t="s">
        <v>184</v>
      </c>
      <c r="J56" s="135" t="s">
        <v>187</v>
      </c>
      <c r="K56" s="136"/>
      <c r="L56" s="137"/>
      <c r="M56" s="138" t="s">
        <v>184</v>
      </c>
      <c r="N56" s="135" t="s">
        <v>161</v>
      </c>
      <c r="O56" s="140"/>
      <c r="P56" s="136"/>
      <c r="Q56" s="136"/>
      <c r="R56" s="136"/>
      <c r="S56" s="136"/>
      <c r="T56" s="136"/>
      <c r="U56" s="136"/>
      <c r="V56" s="136"/>
      <c r="W56" s="136"/>
      <c r="X56" s="144"/>
      <c r="Y56" s="133"/>
      <c r="Z56" s="95"/>
      <c r="AA56" s="95"/>
      <c r="AB56" s="96"/>
      <c r="AC56" s="357"/>
      <c r="AD56" s="358"/>
      <c r="AE56" s="358"/>
      <c r="AF56" s="359"/>
      <c r="AI56" s="109" t="str">
        <f>"55:field190:" &amp; IF(I56="■",1,IF(M56="■",2,0))</f>
        <v>55:field190:0</v>
      </c>
    </row>
    <row r="57" spans="1:35" s="109" customFormat="1" ht="18.75" customHeight="1" x14ac:dyDescent="0.15">
      <c r="A57" s="97"/>
      <c r="B57" s="98"/>
      <c r="C57" s="182"/>
      <c r="D57" s="183"/>
      <c r="E57" s="101"/>
      <c r="F57" s="183"/>
      <c r="G57" s="101"/>
      <c r="H57" s="177" t="s">
        <v>113</v>
      </c>
      <c r="I57" s="134" t="s">
        <v>184</v>
      </c>
      <c r="J57" s="135" t="s">
        <v>187</v>
      </c>
      <c r="K57" s="136"/>
      <c r="L57" s="137"/>
      <c r="M57" s="138" t="s">
        <v>184</v>
      </c>
      <c r="N57" s="135" t="s">
        <v>161</v>
      </c>
      <c r="O57" s="140"/>
      <c r="P57" s="136"/>
      <c r="Q57" s="136"/>
      <c r="R57" s="136"/>
      <c r="S57" s="136"/>
      <c r="T57" s="136"/>
      <c r="U57" s="136"/>
      <c r="V57" s="136"/>
      <c r="W57" s="136"/>
      <c r="X57" s="144"/>
      <c r="Y57" s="133"/>
      <c r="Z57" s="95"/>
      <c r="AA57" s="95"/>
      <c r="AB57" s="96"/>
      <c r="AC57" s="357"/>
      <c r="AD57" s="358"/>
      <c r="AE57" s="358"/>
      <c r="AF57" s="359"/>
      <c r="AI57" s="109" t="str">
        <f>"55:field191:" &amp; IF(I57="■",1,IF(M57="■",2,0))</f>
        <v>55:field191:0</v>
      </c>
    </row>
    <row r="58" spans="1:35" s="109" customFormat="1" ht="18.75" customHeight="1" x14ac:dyDescent="0.15">
      <c r="A58" s="97"/>
      <c r="B58" s="98"/>
      <c r="C58" s="182"/>
      <c r="D58" s="183"/>
      <c r="E58" s="101"/>
      <c r="F58" s="183"/>
      <c r="G58" s="101"/>
      <c r="H58" s="177" t="s">
        <v>98</v>
      </c>
      <c r="I58" s="129" t="s">
        <v>184</v>
      </c>
      <c r="J58" s="105" t="s">
        <v>142</v>
      </c>
      <c r="K58" s="150"/>
      <c r="L58" s="163" t="s">
        <v>184</v>
      </c>
      <c r="M58" s="105" t="s">
        <v>150</v>
      </c>
      <c r="N58" s="166"/>
      <c r="O58" s="136"/>
      <c r="P58" s="136"/>
      <c r="Q58" s="136"/>
      <c r="R58" s="136"/>
      <c r="S58" s="136"/>
      <c r="T58" s="136"/>
      <c r="U58" s="136"/>
      <c r="V58" s="136"/>
      <c r="W58" s="136"/>
      <c r="X58" s="144"/>
      <c r="Y58" s="133"/>
      <c r="Z58" s="95"/>
      <c r="AA58" s="95"/>
      <c r="AB58" s="96"/>
      <c r="AC58" s="357"/>
      <c r="AD58" s="358"/>
      <c r="AE58" s="358"/>
      <c r="AF58" s="359"/>
      <c r="AI58" s="109" t="str">
        <f>"55:jyakuninti_uke_code:" &amp; IF(I58="■",1,IF(L58="■",2,0))</f>
        <v>55:jyakuninti_uke_code:0</v>
      </c>
    </row>
    <row r="59" spans="1:35" s="109" customFormat="1" ht="18.75" customHeight="1" x14ac:dyDescent="0.15">
      <c r="A59" s="97"/>
      <c r="B59" s="98"/>
      <c r="C59" s="182"/>
      <c r="D59" s="183"/>
      <c r="E59" s="101"/>
      <c r="F59" s="183"/>
      <c r="G59" s="101"/>
      <c r="H59" s="177" t="s">
        <v>123</v>
      </c>
      <c r="I59" s="129" t="s">
        <v>184</v>
      </c>
      <c r="J59" s="105" t="s">
        <v>142</v>
      </c>
      <c r="K59" s="150"/>
      <c r="L59" s="163" t="s">
        <v>184</v>
      </c>
      <c r="M59" s="105" t="s">
        <v>150</v>
      </c>
      <c r="N59" s="166"/>
      <c r="O59" s="136"/>
      <c r="P59" s="136"/>
      <c r="Q59" s="136"/>
      <c r="R59" s="136"/>
      <c r="S59" s="136"/>
      <c r="T59" s="136"/>
      <c r="U59" s="136"/>
      <c r="V59" s="136"/>
      <c r="W59" s="136"/>
      <c r="X59" s="144"/>
      <c r="Y59" s="133"/>
      <c r="Z59" s="95"/>
      <c r="AA59" s="95"/>
      <c r="AB59" s="96"/>
      <c r="AC59" s="357"/>
      <c r="AD59" s="358"/>
      <c r="AE59" s="358"/>
      <c r="AF59" s="359"/>
      <c r="AI59" s="109" t="str">
        <f>"55:field207:" &amp; IF(I59="■",1,IF(L59="■",2,0))</f>
        <v>55:field207:0</v>
      </c>
    </row>
    <row r="60" spans="1:35" s="109" customFormat="1" ht="18.75" customHeight="1" x14ac:dyDescent="0.15">
      <c r="A60" s="97"/>
      <c r="B60" s="98"/>
      <c r="C60" s="182"/>
      <c r="D60" s="183"/>
      <c r="E60" s="101"/>
      <c r="F60" s="102"/>
      <c r="G60" s="101"/>
      <c r="H60" s="177" t="s">
        <v>94</v>
      </c>
      <c r="I60" s="129" t="s">
        <v>188</v>
      </c>
      <c r="J60" s="105" t="s">
        <v>142</v>
      </c>
      <c r="K60" s="150"/>
      <c r="L60" s="163" t="s">
        <v>184</v>
      </c>
      <c r="M60" s="105" t="s">
        <v>150</v>
      </c>
      <c r="N60" s="166"/>
      <c r="O60" s="136"/>
      <c r="P60" s="136"/>
      <c r="Q60" s="136"/>
      <c r="R60" s="136"/>
      <c r="S60" s="136"/>
      <c r="T60" s="136"/>
      <c r="U60" s="136"/>
      <c r="V60" s="136"/>
      <c r="W60" s="136"/>
      <c r="X60" s="144"/>
      <c r="Y60" s="133"/>
      <c r="Z60" s="95"/>
      <c r="AA60" s="95"/>
      <c r="AB60" s="96"/>
      <c r="AC60" s="357"/>
      <c r="AD60" s="358"/>
      <c r="AE60" s="358"/>
      <c r="AF60" s="359"/>
      <c r="AI60" s="109" t="str">
        <f>"55:ryouyoushoku_code:" &amp; IF(I60="■",1,IF(L60="■",2,0))</f>
        <v>55:ryouyoushoku_code:0</v>
      </c>
    </row>
    <row r="61" spans="1:35" s="109" customFormat="1" ht="18.75" customHeight="1" x14ac:dyDescent="0.15">
      <c r="A61" s="97"/>
      <c r="B61" s="98"/>
      <c r="C61" s="182"/>
      <c r="D61" s="183"/>
      <c r="E61" s="101"/>
      <c r="F61" s="102"/>
      <c r="G61" s="101"/>
      <c r="H61" s="177" t="s">
        <v>95</v>
      </c>
      <c r="I61" s="134" t="s">
        <v>184</v>
      </c>
      <c r="J61" s="135" t="s">
        <v>142</v>
      </c>
      <c r="K61" s="135"/>
      <c r="L61" s="138" t="s">
        <v>184</v>
      </c>
      <c r="M61" s="135" t="s">
        <v>143</v>
      </c>
      <c r="N61" s="135"/>
      <c r="O61" s="138" t="s">
        <v>184</v>
      </c>
      <c r="P61" s="135" t="s">
        <v>144</v>
      </c>
      <c r="Q61" s="140"/>
      <c r="R61" s="136"/>
      <c r="S61" s="136"/>
      <c r="T61" s="136"/>
      <c r="U61" s="136"/>
      <c r="V61" s="136"/>
      <c r="W61" s="136"/>
      <c r="X61" s="144"/>
      <c r="Y61" s="133"/>
      <c r="Z61" s="95"/>
      <c r="AA61" s="95"/>
      <c r="AB61" s="96"/>
      <c r="AC61" s="357"/>
      <c r="AD61" s="358"/>
      <c r="AE61" s="358"/>
      <c r="AF61" s="359"/>
      <c r="AI61" s="109" t="str">
        <f>"55:ninti_senmoncare_code:" &amp; IF(I61="■",1,IF(O61="■",3,IF(L61="■",2,0)))</f>
        <v>55:ninti_senmoncare_code:0</v>
      </c>
    </row>
    <row r="62" spans="1:35" s="109" customFormat="1" ht="18.75" customHeight="1" x14ac:dyDescent="0.15">
      <c r="A62" s="97"/>
      <c r="B62" s="98"/>
      <c r="C62" s="182"/>
      <c r="D62" s="183"/>
      <c r="E62" s="101"/>
      <c r="F62" s="102"/>
      <c r="G62" s="101"/>
      <c r="H62" s="177" t="s">
        <v>200</v>
      </c>
      <c r="I62" s="134" t="s">
        <v>184</v>
      </c>
      <c r="J62" s="135" t="s">
        <v>142</v>
      </c>
      <c r="K62" s="135"/>
      <c r="L62" s="138" t="s">
        <v>184</v>
      </c>
      <c r="M62" s="135" t="s">
        <v>143</v>
      </c>
      <c r="N62" s="135"/>
      <c r="O62" s="138" t="s">
        <v>184</v>
      </c>
      <c r="P62" s="135" t="s">
        <v>144</v>
      </c>
      <c r="Q62" s="136"/>
      <c r="R62" s="136"/>
      <c r="S62" s="136"/>
      <c r="T62" s="136"/>
      <c r="U62" s="136"/>
      <c r="V62" s="136"/>
      <c r="W62" s="136"/>
      <c r="X62" s="144"/>
      <c r="Y62" s="133"/>
      <c r="Z62" s="95"/>
      <c r="AA62" s="95"/>
      <c r="AB62" s="96"/>
      <c r="AC62" s="357"/>
      <c r="AD62" s="358"/>
      <c r="AE62" s="358"/>
      <c r="AF62" s="359"/>
      <c r="AI62" s="109" t="str">
        <f>"55:field228:" &amp; IF(I62="■",1,IF(L62="■",2,IF(O62="■",3,0)))</f>
        <v>55:field228:0</v>
      </c>
    </row>
    <row r="63" spans="1:35" s="109" customFormat="1" ht="18.75" customHeight="1" x14ac:dyDescent="0.15">
      <c r="A63" s="97"/>
      <c r="B63" s="98"/>
      <c r="C63" s="182"/>
      <c r="D63" s="183"/>
      <c r="E63" s="101"/>
      <c r="F63" s="102"/>
      <c r="G63" s="101"/>
      <c r="H63" s="177" t="s">
        <v>130</v>
      </c>
      <c r="I63" s="134" t="s">
        <v>184</v>
      </c>
      <c r="J63" s="135" t="s">
        <v>142</v>
      </c>
      <c r="K63" s="135"/>
      <c r="L63" s="138" t="s">
        <v>184</v>
      </c>
      <c r="M63" s="135" t="s">
        <v>143</v>
      </c>
      <c r="N63" s="135"/>
      <c r="O63" s="138" t="s">
        <v>184</v>
      </c>
      <c r="P63" s="135" t="s">
        <v>144</v>
      </c>
      <c r="Q63" s="140"/>
      <c r="R63" s="135"/>
      <c r="S63" s="135"/>
      <c r="T63" s="135"/>
      <c r="U63" s="135"/>
      <c r="V63" s="135"/>
      <c r="W63" s="135"/>
      <c r="X63" s="143"/>
      <c r="Y63" s="133"/>
      <c r="Z63" s="95"/>
      <c r="AA63" s="95"/>
      <c r="AB63" s="96"/>
      <c r="AC63" s="357"/>
      <c r="AD63" s="358"/>
      <c r="AE63" s="358"/>
      <c r="AF63" s="359"/>
      <c r="AI63" s="109" t="str">
        <f>"55:field164:" &amp; IF(I63="■",1,IF(L63="■",2,IF(O63="■",3,0)))</f>
        <v>55:field164:0</v>
      </c>
    </row>
    <row r="64" spans="1:35" s="109" customFormat="1" ht="18.75" customHeight="1" x14ac:dyDescent="0.15">
      <c r="A64" s="97"/>
      <c r="B64" s="98"/>
      <c r="C64" s="182"/>
      <c r="D64" s="183"/>
      <c r="E64" s="101"/>
      <c r="F64" s="102"/>
      <c r="G64" s="101"/>
      <c r="H64" s="177" t="s">
        <v>206</v>
      </c>
      <c r="I64" s="134" t="s">
        <v>184</v>
      </c>
      <c r="J64" s="135" t="s">
        <v>142</v>
      </c>
      <c r="K64" s="135"/>
      <c r="L64" s="138" t="s">
        <v>184</v>
      </c>
      <c r="M64" s="105" t="s">
        <v>150</v>
      </c>
      <c r="N64" s="135"/>
      <c r="O64" s="135"/>
      <c r="P64" s="135"/>
      <c r="Q64" s="136"/>
      <c r="R64" s="136"/>
      <c r="S64" s="136"/>
      <c r="T64" s="136"/>
      <c r="U64" s="136"/>
      <c r="V64" s="136"/>
      <c r="W64" s="136"/>
      <c r="X64" s="144"/>
      <c r="Y64" s="133"/>
      <c r="Z64" s="95"/>
      <c r="AA64" s="95"/>
      <c r="AB64" s="96"/>
      <c r="AC64" s="357"/>
      <c r="AD64" s="358"/>
      <c r="AE64" s="358"/>
      <c r="AF64" s="359"/>
      <c r="AI64" s="109" t="str">
        <f>"55:field226:" &amp; IF(I64="■",1,IF(L64="■",2,0))</f>
        <v>55:field226:0</v>
      </c>
    </row>
    <row r="65" spans="1:36" s="109" customFormat="1" ht="18.75" customHeight="1" x14ac:dyDescent="0.15">
      <c r="A65" s="97"/>
      <c r="B65" s="98"/>
      <c r="C65" s="182"/>
      <c r="D65" s="183"/>
      <c r="E65" s="101"/>
      <c r="F65" s="102"/>
      <c r="G65" s="101"/>
      <c r="H65" s="177" t="s">
        <v>207</v>
      </c>
      <c r="I65" s="134" t="s">
        <v>184</v>
      </c>
      <c r="J65" s="135" t="s">
        <v>142</v>
      </c>
      <c r="K65" s="135"/>
      <c r="L65" s="138" t="s">
        <v>184</v>
      </c>
      <c r="M65" s="105" t="s">
        <v>150</v>
      </c>
      <c r="N65" s="135"/>
      <c r="O65" s="135"/>
      <c r="P65" s="135"/>
      <c r="Q65" s="136"/>
      <c r="R65" s="136"/>
      <c r="S65" s="136"/>
      <c r="T65" s="136"/>
      <c r="U65" s="136"/>
      <c r="V65" s="136"/>
      <c r="W65" s="136"/>
      <c r="X65" s="144"/>
      <c r="Y65" s="133"/>
      <c r="Z65" s="95"/>
      <c r="AA65" s="95"/>
      <c r="AB65" s="96"/>
      <c r="AC65" s="357"/>
      <c r="AD65" s="358"/>
      <c r="AE65" s="358"/>
      <c r="AF65" s="359"/>
      <c r="AI65" s="109" t="str">
        <f>"55:field227:" &amp; IF(I65="■",1,IF(L65="■",2,0))</f>
        <v>55:field227:0</v>
      </c>
    </row>
    <row r="66" spans="1:36" s="109" customFormat="1" ht="18.75" customHeight="1" x14ac:dyDescent="0.15">
      <c r="A66" s="97"/>
      <c r="B66" s="98"/>
      <c r="C66" s="182"/>
      <c r="D66" s="183"/>
      <c r="E66" s="101"/>
      <c r="F66" s="102"/>
      <c r="G66" s="101"/>
      <c r="H66" s="184" t="s">
        <v>199</v>
      </c>
      <c r="I66" s="134" t="s">
        <v>184</v>
      </c>
      <c r="J66" s="135" t="s">
        <v>142</v>
      </c>
      <c r="K66" s="135"/>
      <c r="L66" s="138" t="s">
        <v>184</v>
      </c>
      <c r="M66" s="135" t="s">
        <v>143</v>
      </c>
      <c r="N66" s="135"/>
      <c r="O66" s="138" t="s">
        <v>184</v>
      </c>
      <c r="P66" s="135" t="s">
        <v>144</v>
      </c>
      <c r="Q66" s="140"/>
      <c r="R66" s="140"/>
      <c r="S66" s="140"/>
      <c r="T66" s="140"/>
      <c r="U66" s="185"/>
      <c r="V66" s="185"/>
      <c r="W66" s="185"/>
      <c r="X66" s="186"/>
      <c r="Y66" s="133"/>
      <c r="Z66" s="95"/>
      <c r="AA66" s="95"/>
      <c r="AB66" s="96"/>
      <c r="AC66" s="357"/>
      <c r="AD66" s="358"/>
      <c r="AE66" s="358"/>
      <c r="AF66" s="359"/>
      <c r="AI66" s="109" t="str">
        <f>"55:field225:" &amp; IF(I66="■",1,IF(L66="■",2,IF(O66="■",3,0)))</f>
        <v>55:field225:0</v>
      </c>
    </row>
    <row r="67" spans="1:36" s="109" customFormat="1" ht="18.75" customHeight="1" x14ac:dyDescent="0.15">
      <c r="A67" s="97"/>
      <c r="B67" s="98"/>
      <c r="C67" s="182"/>
      <c r="D67" s="183"/>
      <c r="E67" s="101"/>
      <c r="F67" s="102"/>
      <c r="G67" s="101"/>
      <c r="H67" s="177" t="s">
        <v>96</v>
      </c>
      <c r="I67" s="134" t="s">
        <v>184</v>
      </c>
      <c r="J67" s="135" t="s">
        <v>142</v>
      </c>
      <c r="K67" s="135"/>
      <c r="L67" s="138" t="s">
        <v>184</v>
      </c>
      <c r="M67" s="135" t="s">
        <v>146</v>
      </c>
      <c r="N67" s="135"/>
      <c r="O67" s="138" t="s">
        <v>184</v>
      </c>
      <c r="P67" s="135" t="s">
        <v>147</v>
      </c>
      <c r="Q67" s="166"/>
      <c r="R67" s="138" t="s">
        <v>184</v>
      </c>
      <c r="S67" s="135" t="s">
        <v>151</v>
      </c>
      <c r="T67" s="135"/>
      <c r="U67" s="135"/>
      <c r="V67" s="135"/>
      <c r="W67" s="135"/>
      <c r="X67" s="143"/>
      <c r="Y67" s="133"/>
      <c r="Z67" s="95"/>
      <c r="AA67" s="95"/>
      <c r="AB67" s="96"/>
      <c r="AC67" s="357"/>
      <c r="AD67" s="358"/>
      <c r="AE67" s="358"/>
      <c r="AF67" s="359"/>
      <c r="AI67" s="109" t="str">
        <f>"55:serteikyo_kyoka_code:" &amp; IF(I67="■",1,IF(L67="■",6,IF(O67="■",5,IF(R67="■",7,0))))</f>
        <v>55:serteikyo_kyoka_code:0</v>
      </c>
    </row>
    <row r="68" spans="1:36" s="109" customFormat="1" ht="18.75" customHeight="1" x14ac:dyDescent="0.15">
      <c r="A68" s="97"/>
      <c r="B68" s="98"/>
      <c r="C68" s="99"/>
      <c r="D68" s="100"/>
      <c r="E68" s="101"/>
      <c r="F68" s="102"/>
      <c r="G68" s="103"/>
      <c r="H68" s="170" t="s">
        <v>208</v>
      </c>
      <c r="I68" s="164" t="s">
        <v>184</v>
      </c>
      <c r="J68" s="146" t="s">
        <v>142</v>
      </c>
      <c r="K68" s="146"/>
      <c r="L68" s="165" t="s">
        <v>184</v>
      </c>
      <c r="M68" s="146" t="s">
        <v>195</v>
      </c>
      <c r="N68" s="187"/>
      <c r="O68" s="165" t="s">
        <v>184</v>
      </c>
      <c r="P68" s="94" t="s">
        <v>196</v>
      </c>
      <c r="Q68" s="188"/>
      <c r="R68" s="165" t="s">
        <v>184</v>
      </c>
      <c r="S68" s="146" t="s">
        <v>197</v>
      </c>
      <c r="T68" s="188"/>
      <c r="U68" s="165" t="s">
        <v>184</v>
      </c>
      <c r="V68" s="146" t="s">
        <v>198</v>
      </c>
      <c r="W68" s="185"/>
      <c r="X68" s="186"/>
      <c r="Y68" s="95"/>
      <c r="Z68" s="95"/>
      <c r="AA68" s="95"/>
      <c r="AB68" s="96"/>
      <c r="AC68" s="357"/>
      <c r="AD68" s="358"/>
      <c r="AE68" s="358"/>
      <c r="AF68" s="359"/>
      <c r="AI68" s="109" t="str">
        <f>"55:shoguukaizen_code:"&amp;IF(I68="■",1,IF(L68="■",7,IF(O68="■",8,IF(R68="■",9,IF(U68="■","A",0)))))</f>
        <v>55:shoguukaizen_code:0</v>
      </c>
    </row>
    <row r="69" spans="1:36" s="109" customFormat="1" ht="18.75" customHeight="1" x14ac:dyDescent="0.15">
      <c r="A69" s="119"/>
      <c r="B69" s="120"/>
      <c r="C69" s="189"/>
      <c r="D69" s="190"/>
      <c r="E69" s="116"/>
      <c r="F69" s="123"/>
      <c r="G69" s="116"/>
      <c r="H69" s="352" t="s">
        <v>89</v>
      </c>
      <c r="I69" s="128" t="s">
        <v>184</v>
      </c>
      <c r="J69" s="114" t="s">
        <v>153</v>
      </c>
      <c r="K69" s="126"/>
      <c r="L69" s="179"/>
      <c r="M69" s="125" t="s">
        <v>184</v>
      </c>
      <c r="N69" s="114" t="s">
        <v>157</v>
      </c>
      <c r="O69" s="179"/>
      <c r="P69" s="179"/>
      <c r="Q69" s="125" t="s">
        <v>184</v>
      </c>
      <c r="R69" s="114" t="s">
        <v>158</v>
      </c>
      <c r="S69" s="179"/>
      <c r="T69" s="179"/>
      <c r="U69" s="125" t="s">
        <v>184</v>
      </c>
      <c r="V69" s="114" t="s">
        <v>159</v>
      </c>
      <c r="W69" s="179"/>
      <c r="X69" s="172"/>
      <c r="Y69" s="128" t="s">
        <v>184</v>
      </c>
      <c r="Z69" s="114" t="s">
        <v>141</v>
      </c>
      <c r="AA69" s="114"/>
      <c r="AB69" s="127"/>
      <c r="AC69" s="354"/>
      <c r="AD69" s="355"/>
      <c r="AE69" s="355"/>
      <c r="AF69" s="356"/>
      <c r="AG69" s="109" t="str">
        <f>"ser_code = '" &amp; IF(A79="■",55,"") &amp; "'"</f>
        <v>ser_code = ''</v>
      </c>
      <c r="AH69" s="109" t="str">
        <f>"55:jininkbn_code:" &amp; IF(F79="■",2,0)</f>
        <v>55:jininkbn_code:0</v>
      </c>
      <c r="AI69" s="109" t="str">
        <f>"55:yakan_kinmu_code:" &amp; IF(I69="■",1,IF(M69="■",2,IF(Q69="■",3,IF(U69="■",AJ6666,IF(I70="■",5,IF(M70="■",6,0))))))</f>
        <v>55:yakan_kinmu_code:0</v>
      </c>
      <c r="AJ69" s="109" t="str">
        <f>"55:field203:" &amp; IF(Y69="■",1,IF(Y70="■",2,0))</f>
        <v>55:field203:0</v>
      </c>
    </row>
    <row r="70" spans="1:36" s="109" customFormat="1" ht="18.75" customHeight="1" x14ac:dyDescent="0.15">
      <c r="A70" s="97"/>
      <c r="B70" s="98"/>
      <c r="C70" s="182"/>
      <c r="D70" s="183"/>
      <c r="E70" s="101"/>
      <c r="F70" s="102"/>
      <c r="G70" s="101"/>
      <c r="H70" s="362"/>
      <c r="I70" s="129" t="s">
        <v>184</v>
      </c>
      <c r="J70" s="105" t="s">
        <v>160</v>
      </c>
      <c r="K70" s="150"/>
      <c r="L70" s="130"/>
      <c r="M70" s="163" t="s">
        <v>184</v>
      </c>
      <c r="N70" s="105" t="s">
        <v>154</v>
      </c>
      <c r="O70" s="130"/>
      <c r="P70" s="130"/>
      <c r="Q70" s="130"/>
      <c r="R70" s="130"/>
      <c r="S70" s="130"/>
      <c r="T70" s="130"/>
      <c r="U70" s="130"/>
      <c r="V70" s="130"/>
      <c r="W70" s="130"/>
      <c r="X70" s="175"/>
      <c r="Y70" s="117" t="s">
        <v>184</v>
      </c>
      <c r="Z70" s="94" t="s">
        <v>145</v>
      </c>
      <c r="AA70" s="95"/>
      <c r="AB70" s="96"/>
      <c r="AC70" s="357"/>
      <c r="AD70" s="358"/>
      <c r="AE70" s="358"/>
      <c r="AF70" s="359"/>
      <c r="AG70" s="109" t="str">
        <f>"55:sisetukbn_code:" &amp; IF(D79="■",3,0)</f>
        <v>55:sisetukbn_code:0</v>
      </c>
    </row>
    <row r="71" spans="1:36" s="109" customFormat="1" ht="18.75" customHeight="1" x14ac:dyDescent="0.15">
      <c r="A71" s="97"/>
      <c r="B71" s="98"/>
      <c r="C71" s="182"/>
      <c r="D71" s="183"/>
      <c r="E71" s="101"/>
      <c r="F71" s="102"/>
      <c r="G71" s="101"/>
      <c r="H71" s="366" t="s">
        <v>87</v>
      </c>
      <c r="I71" s="164" t="s">
        <v>184</v>
      </c>
      <c r="J71" s="146" t="s">
        <v>142</v>
      </c>
      <c r="K71" s="146"/>
      <c r="L71" s="168"/>
      <c r="M71" s="165" t="s">
        <v>184</v>
      </c>
      <c r="N71" s="146" t="s">
        <v>152</v>
      </c>
      <c r="O71" s="146"/>
      <c r="P71" s="168"/>
      <c r="Q71" s="165" t="s">
        <v>184</v>
      </c>
      <c r="R71" s="168" t="s">
        <v>173</v>
      </c>
      <c r="S71" s="168"/>
      <c r="T71" s="168"/>
      <c r="U71" s="165" t="s">
        <v>184</v>
      </c>
      <c r="V71" s="168" t="s">
        <v>174</v>
      </c>
      <c r="W71" s="185"/>
      <c r="X71" s="186"/>
      <c r="Y71" s="133"/>
      <c r="Z71" s="95"/>
      <c r="AA71" s="95"/>
      <c r="AB71" s="96"/>
      <c r="AC71" s="357"/>
      <c r="AD71" s="358"/>
      <c r="AE71" s="358"/>
      <c r="AF71" s="359"/>
      <c r="AI71" s="109" t="str">
        <f>"55:"&amp;IF(AND(I71="□",M71="□",Q71="□",U71="□",I72="□",M72="□"),"ketu_doctor_code:0",IF(I71="■","ketu_doctor_code:1:field197:1:ketu_kangos_code:1:ketu_kshoku_code:1:ketu_ksiensou_code:1",IF(M71="■","ketu_doctor_code:2","ketu_doctor_code:1")
&amp;IF(Q71="■",":field197:2",":field197:1")
&amp;IF(U71="■",":ketu_kangos_code:2",":ketu_kangos_code:1")
&amp;IF(I72="■",":ketu_kshoku_code:2",":ketu_kshoku_code:1")
&amp;IF(M72="■",":ketu_ksiensou_code:2",":ketu_ksiensou_code:1")))</f>
        <v>55:ketu_doctor_code:0</v>
      </c>
    </row>
    <row r="72" spans="1:36" s="109" customFormat="1" ht="18.75" customHeight="1" x14ac:dyDescent="0.15">
      <c r="A72" s="97"/>
      <c r="B72" s="98"/>
      <c r="C72" s="182"/>
      <c r="D72" s="183"/>
      <c r="E72" s="101"/>
      <c r="F72" s="102"/>
      <c r="G72" s="101"/>
      <c r="H72" s="362"/>
      <c r="I72" s="129" t="s">
        <v>184</v>
      </c>
      <c r="J72" s="130" t="s">
        <v>175</v>
      </c>
      <c r="K72" s="105"/>
      <c r="L72" s="130"/>
      <c r="M72" s="163" t="s">
        <v>184</v>
      </c>
      <c r="N72" s="105" t="s">
        <v>189</v>
      </c>
      <c r="O72" s="105"/>
      <c r="P72" s="130"/>
      <c r="Q72" s="130"/>
      <c r="R72" s="130"/>
      <c r="S72" s="130"/>
      <c r="T72" s="130"/>
      <c r="U72" s="130"/>
      <c r="V72" s="130"/>
      <c r="W72" s="131"/>
      <c r="X72" s="132"/>
      <c r="Y72" s="133"/>
      <c r="Z72" s="95"/>
      <c r="AA72" s="95"/>
      <c r="AB72" s="96"/>
      <c r="AC72" s="357"/>
      <c r="AD72" s="358"/>
      <c r="AE72" s="358"/>
      <c r="AF72" s="359"/>
    </row>
    <row r="73" spans="1:36" s="109" customFormat="1" ht="18.75" customHeight="1" x14ac:dyDescent="0.15">
      <c r="A73" s="97"/>
      <c r="B73" s="98"/>
      <c r="C73" s="182"/>
      <c r="D73" s="183"/>
      <c r="E73" s="101"/>
      <c r="F73" s="102"/>
      <c r="G73" s="101"/>
      <c r="H73" s="177" t="s">
        <v>92</v>
      </c>
      <c r="I73" s="134" t="s">
        <v>184</v>
      </c>
      <c r="J73" s="135" t="s">
        <v>185</v>
      </c>
      <c r="K73" s="136"/>
      <c r="L73" s="137"/>
      <c r="M73" s="138" t="s">
        <v>184</v>
      </c>
      <c r="N73" s="135" t="s">
        <v>186</v>
      </c>
      <c r="O73" s="140"/>
      <c r="P73" s="136"/>
      <c r="Q73" s="136"/>
      <c r="R73" s="136"/>
      <c r="S73" s="136"/>
      <c r="T73" s="136"/>
      <c r="U73" s="136"/>
      <c r="V73" s="136"/>
      <c r="W73" s="136"/>
      <c r="X73" s="144"/>
      <c r="Y73" s="133"/>
      <c r="Z73" s="95"/>
      <c r="AA73" s="95"/>
      <c r="AB73" s="96"/>
      <c r="AC73" s="357"/>
      <c r="AD73" s="358"/>
      <c r="AE73" s="358"/>
      <c r="AF73" s="359"/>
      <c r="AI73" s="109" t="str">
        <f>"55:sintaikousoku_code:" &amp; IF(I73="■",1,IF(M73="■",2,0))</f>
        <v>55:sintaikousoku_code:0</v>
      </c>
    </row>
    <row r="74" spans="1:36" s="109" customFormat="1" ht="18.75" customHeight="1" x14ac:dyDescent="0.15">
      <c r="A74" s="97"/>
      <c r="B74" s="98"/>
      <c r="C74" s="182"/>
      <c r="D74" s="183"/>
      <c r="E74" s="101"/>
      <c r="F74" s="102"/>
      <c r="G74" s="101"/>
      <c r="H74" s="177" t="s">
        <v>124</v>
      </c>
      <c r="I74" s="134" t="s">
        <v>184</v>
      </c>
      <c r="J74" s="135" t="s">
        <v>185</v>
      </c>
      <c r="K74" s="136"/>
      <c r="L74" s="137"/>
      <c r="M74" s="138" t="s">
        <v>184</v>
      </c>
      <c r="N74" s="135" t="s">
        <v>186</v>
      </c>
      <c r="O74" s="140"/>
      <c r="P74" s="136"/>
      <c r="Q74" s="136"/>
      <c r="R74" s="136"/>
      <c r="S74" s="136"/>
      <c r="T74" s="136"/>
      <c r="U74" s="136"/>
      <c r="V74" s="136"/>
      <c r="W74" s="136"/>
      <c r="X74" s="144"/>
      <c r="Y74" s="133"/>
      <c r="Z74" s="95"/>
      <c r="AA74" s="95"/>
      <c r="AB74" s="96"/>
      <c r="AC74" s="357"/>
      <c r="AD74" s="358"/>
      <c r="AE74" s="358"/>
      <c r="AF74" s="359"/>
      <c r="AI74" s="109" t="str">
        <f>"55:field208:" &amp; IF(I74="■",1,IF(M74="■",2,0))</f>
        <v>55:field208:0</v>
      </c>
    </row>
    <row r="75" spans="1:36" s="109" customFormat="1" ht="19.5" customHeight="1" x14ac:dyDescent="0.15">
      <c r="A75" s="97"/>
      <c r="B75" s="98"/>
      <c r="C75" s="99"/>
      <c r="D75" s="100"/>
      <c r="E75" s="101"/>
      <c r="F75" s="102"/>
      <c r="G75" s="103"/>
      <c r="H75" s="104" t="s">
        <v>192</v>
      </c>
      <c r="I75" s="134" t="s">
        <v>184</v>
      </c>
      <c r="J75" s="135" t="s">
        <v>185</v>
      </c>
      <c r="K75" s="136"/>
      <c r="L75" s="137"/>
      <c r="M75" s="138" t="s">
        <v>184</v>
      </c>
      <c r="N75" s="135" t="s">
        <v>193</v>
      </c>
      <c r="O75" s="139"/>
      <c r="P75" s="135"/>
      <c r="Q75" s="140"/>
      <c r="R75" s="140"/>
      <c r="S75" s="140"/>
      <c r="T75" s="140"/>
      <c r="U75" s="140"/>
      <c r="V75" s="140"/>
      <c r="W75" s="140"/>
      <c r="X75" s="141"/>
      <c r="Y75" s="95"/>
      <c r="Z75" s="95"/>
      <c r="AA75" s="95"/>
      <c r="AB75" s="96"/>
      <c r="AC75" s="357"/>
      <c r="AD75" s="358"/>
      <c r="AE75" s="358"/>
      <c r="AF75" s="359"/>
      <c r="AI75" s="109" t="str">
        <f>"55:field223:" &amp; IF(I75="■",1,IF(M75="■",2,0))</f>
        <v>55:field223:0</v>
      </c>
    </row>
    <row r="76" spans="1:36" s="109" customFormat="1" ht="19.5" customHeight="1" x14ac:dyDescent="0.15">
      <c r="A76" s="97"/>
      <c r="B76" s="98"/>
      <c r="C76" s="99"/>
      <c r="D76" s="100"/>
      <c r="E76" s="101"/>
      <c r="F76" s="102"/>
      <c r="G76" s="103"/>
      <c r="H76" s="104" t="s">
        <v>201</v>
      </c>
      <c r="I76" s="134" t="s">
        <v>184</v>
      </c>
      <c r="J76" s="135" t="s">
        <v>185</v>
      </c>
      <c r="K76" s="136"/>
      <c r="L76" s="137"/>
      <c r="M76" s="138" t="s">
        <v>184</v>
      </c>
      <c r="N76" s="135" t="s">
        <v>193</v>
      </c>
      <c r="O76" s="139"/>
      <c r="P76" s="135"/>
      <c r="Q76" s="140"/>
      <c r="R76" s="140"/>
      <c r="S76" s="140"/>
      <c r="T76" s="140"/>
      <c r="U76" s="140"/>
      <c r="V76" s="140"/>
      <c r="W76" s="140"/>
      <c r="X76" s="141"/>
      <c r="Y76" s="95"/>
      <c r="Z76" s="95"/>
      <c r="AA76" s="95"/>
      <c r="AB76" s="96"/>
      <c r="AC76" s="357"/>
      <c r="AD76" s="358"/>
      <c r="AE76" s="358"/>
      <c r="AF76" s="359"/>
      <c r="AI76" s="109" t="str">
        <f>"55:field232:" &amp; IF(I76="■",1,IF(M76="■",2,0))</f>
        <v>55:field232:0</v>
      </c>
    </row>
    <row r="77" spans="1:36" s="109" customFormat="1" ht="18.75" customHeight="1" x14ac:dyDescent="0.15">
      <c r="A77" s="97"/>
      <c r="B77" s="98"/>
      <c r="C77" s="182"/>
      <c r="D77" s="183"/>
      <c r="E77" s="101"/>
      <c r="F77" s="102"/>
      <c r="G77" s="101"/>
      <c r="H77" s="367" t="s">
        <v>125</v>
      </c>
      <c r="I77" s="369" t="s">
        <v>184</v>
      </c>
      <c r="J77" s="360" t="s">
        <v>142</v>
      </c>
      <c r="K77" s="360"/>
      <c r="L77" s="371" t="s">
        <v>184</v>
      </c>
      <c r="M77" s="360" t="s">
        <v>150</v>
      </c>
      <c r="N77" s="360"/>
      <c r="O77" s="168"/>
      <c r="P77" s="168"/>
      <c r="Q77" s="168"/>
      <c r="R77" s="168"/>
      <c r="S77" s="168"/>
      <c r="T77" s="168"/>
      <c r="U77" s="168"/>
      <c r="V77" s="168"/>
      <c r="W77" s="168"/>
      <c r="X77" s="169"/>
      <c r="Y77" s="133"/>
      <c r="Z77" s="95"/>
      <c r="AA77" s="95"/>
      <c r="AB77" s="96"/>
      <c r="AC77" s="357"/>
      <c r="AD77" s="358"/>
      <c r="AE77" s="358"/>
      <c r="AF77" s="359"/>
      <c r="AI77" s="109" t="str">
        <f>"55:field206:" &amp; IF(I77="■",1,IF(L77="■",2,0))</f>
        <v>55:field206:0</v>
      </c>
    </row>
    <row r="78" spans="1:36" s="109" customFormat="1" ht="18.75" customHeight="1" x14ac:dyDescent="0.15">
      <c r="A78" s="97"/>
      <c r="B78" s="98"/>
      <c r="C78" s="182"/>
      <c r="D78" s="183"/>
      <c r="E78" s="101"/>
      <c r="F78" s="102"/>
      <c r="G78" s="101"/>
      <c r="H78" s="368"/>
      <c r="I78" s="370"/>
      <c r="J78" s="361"/>
      <c r="K78" s="361"/>
      <c r="L78" s="372"/>
      <c r="M78" s="361"/>
      <c r="N78" s="361"/>
      <c r="O78" s="130"/>
      <c r="P78" s="130"/>
      <c r="Q78" s="130"/>
      <c r="R78" s="130"/>
      <c r="S78" s="130"/>
      <c r="T78" s="130"/>
      <c r="U78" s="130"/>
      <c r="V78" s="130"/>
      <c r="W78" s="130"/>
      <c r="X78" s="175"/>
      <c r="Y78" s="133"/>
      <c r="Z78" s="95"/>
      <c r="AA78" s="95"/>
      <c r="AB78" s="96"/>
      <c r="AC78" s="357"/>
      <c r="AD78" s="358"/>
      <c r="AE78" s="358"/>
      <c r="AF78" s="359"/>
    </row>
    <row r="79" spans="1:36" s="109" customFormat="1" ht="18.75" customHeight="1" x14ac:dyDescent="0.15">
      <c r="A79" s="117" t="s">
        <v>184</v>
      </c>
      <c r="B79" s="98">
        <v>55</v>
      </c>
      <c r="C79" s="182" t="s">
        <v>190</v>
      </c>
      <c r="D79" s="117" t="s">
        <v>184</v>
      </c>
      <c r="E79" s="101" t="s">
        <v>181</v>
      </c>
      <c r="F79" s="117" t="s">
        <v>184</v>
      </c>
      <c r="G79" s="101" t="s">
        <v>168</v>
      </c>
      <c r="H79" s="177" t="s">
        <v>112</v>
      </c>
      <c r="I79" s="134" t="s">
        <v>184</v>
      </c>
      <c r="J79" s="135" t="s">
        <v>187</v>
      </c>
      <c r="K79" s="136"/>
      <c r="L79" s="137"/>
      <c r="M79" s="138" t="s">
        <v>184</v>
      </c>
      <c r="N79" s="135" t="s">
        <v>161</v>
      </c>
      <c r="O79" s="140"/>
      <c r="P79" s="136"/>
      <c r="Q79" s="136"/>
      <c r="R79" s="136"/>
      <c r="S79" s="136"/>
      <c r="T79" s="136"/>
      <c r="U79" s="136"/>
      <c r="V79" s="136"/>
      <c r="W79" s="136"/>
      <c r="X79" s="144"/>
      <c r="Y79" s="133"/>
      <c r="Z79" s="95"/>
      <c r="AA79" s="95"/>
      <c r="AB79" s="96"/>
      <c r="AC79" s="357"/>
      <c r="AD79" s="358"/>
      <c r="AE79" s="358"/>
      <c r="AF79" s="359"/>
      <c r="AI79" s="109" t="str">
        <f>"55:field190:" &amp; IF(I79="■",1,IF(M79="■",2,0))</f>
        <v>55:field190:0</v>
      </c>
    </row>
    <row r="80" spans="1:36" s="109" customFormat="1" ht="18.75" customHeight="1" x14ac:dyDescent="0.15">
      <c r="A80" s="97"/>
      <c r="B80" s="98"/>
      <c r="C80" s="182"/>
      <c r="D80" s="183"/>
      <c r="E80" s="101"/>
      <c r="F80" s="102"/>
      <c r="G80" s="103"/>
      <c r="H80" s="177" t="s">
        <v>113</v>
      </c>
      <c r="I80" s="134" t="s">
        <v>184</v>
      </c>
      <c r="J80" s="135" t="s">
        <v>187</v>
      </c>
      <c r="K80" s="136"/>
      <c r="L80" s="137"/>
      <c r="M80" s="138" t="s">
        <v>184</v>
      </c>
      <c r="N80" s="135" t="s">
        <v>161</v>
      </c>
      <c r="O80" s="140"/>
      <c r="P80" s="136"/>
      <c r="Q80" s="136"/>
      <c r="R80" s="136"/>
      <c r="S80" s="136"/>
      <c r="T80" s="136"/>
      <c r="U80" s="136"/>
      <c r="V80" s="136"/>
      <c r="W80" s="136"/>
      <c r="X80" s="144"/>
      <c r="Y80" s="133"/>
      <c r="Z80" s="95"/>
      <c r="AA80" s="95"/>
      <c r="AB80" s="96"/>
      <c r="AC80" s="357"/>
      <c r="AD80" s="358"/>
      <c r="AE80" s="358"/>
      <c r="AF80" s="359"/>
      <c r="AI80" s="109" t="str">
        <f>"55:field191:" &amp; IF(I80="■",1,IF(M80="■",2,0))</f>
        <v>55:field191:0</v>
      </c>
    </row>
    <row r="81" spans="1:38" ht="19.5" customHeight="1" x14ac:dyDescent="0.15">
      <c r="A81" s="97"/>
      <c r="B81" s="98"/>
      <c r="C81" s="99"/>
      <c r="D81" s="100"/>
      <c r="E81" s="101"/>
      <c r="F81" s="102"/>
      <c r="G81" s="103"/>
      <c r="H81" s="104" t="s">
        <v>222</v>
      </c>
      <c r="I81" s="134" t="s">
        <v>225</v>
      </c>
      <c r="J81" s="105" t="s">
        <v>220</v>
      </c>
      <c r="K81" s="150"/>
      <c r="L81" s="106"/>
      <c r="M81" s="138" t="s">
        <v>184</v>
      </c>
      <c r="N81" s="105" t="s">
        <v>221</v>
      </c>
      <c r="O81" s="181"/>
      <c r="P81" s="105"/>
      <c r="Q81" s="131"/>
      <c r="R81" s="131"/>
      <c r="S81" s="131"/>
      <c r="T81" s="131"/>
      <c r="U81" s="131"/>
      <c r="V81" s="131"/>
      <c r="W81" s="131"/>
      <c r="X81" s="132"/>
      <c r="Y81" s="148"/>
      <c r="Z81" s="94"/>
      <c r="AA81" s="95"/>
      <c r="AB81" s="96"/>
      <c r="AC81" s="357"/>
      <c r="AD81" s="358"/>
      <c r="AE81" s="358"/>
      <c r="AF81" s="359"/>
      <c r="AG81" s="93"/>
      <c r="AH81" s="93"/>
      <c r="AI81" s="109" t="str">
        <f>"55:field242:" &amp; IF(I81="■",1,IF(M81="■",2,0))</f>
        <v>55:field242:1</v>
      </c>
      <c r="AJ81" s="93"/>
      <c r="AK81" s="93"/>
      <c r="AL81" s="93"/>
    </row>
    <row r="82" spans="1:38" s="109" customFormat="1" ht="18.75" customHeight="1" x14ac:dyDescent="0.15">
      <c r="A82" s="97"/>
      <c r="B82" s="98"/>
      <c r="C82" s="182"/>
      <c r="D82" s="183"/>
      <c r="E82" s="101"/>
      <c r="F82" s="183"/>
      <c r="G82" s="101"/>
      <c r="H82" s="177" t="s">
        <v>98</v>
      </c>
      <c r="I82" s="129" t="s">
        <v>184</v>
      </c>
      <c r="J82" s="105" t="s">
        <v>142</v>
      </c>
      <c r="K82" s="150"/>
      <c r="L82" s="163" t="s">
        <v>184</v>
      </c>
      <c r="M82" s="105" t="s">
        <v>150</v>
      </c>
      <c r="N82" s="166"/>
      <c r="O82" s="136"/>
      <c r="P82" s="136"/>
      <c r="Q82" s="136"/>
      <c r="R82" s="136"/>
      <c r="S82" s="136"/>
      <c r="T82" s="136"/>
      <c r="U82" s="136"/>
      <c r="V82" s="136"/>
      <c r="W82" s="136"/>
      <c r="X82" s="144"/>
      <c r="Y82" s="133"/>
      <c r="Z82" s="95"/>
      <c r="AA82" s="95"/>
      <c r="AB82" s="96"/>
      <c r="AC82" s="357"/>
      <c r="AD82" s="358"/>
      <c r="AE82" s="358"/>
      <c r="AF82" s="359"/>
      <c r="AI82" s="109" t="str">
        <f>"55:jyakuninti_uke_code:" &amp; IF(I82="■",1,IF(L82="■",2,0))</f>
        <v>55:jyakuninti_uke_code:0</v>
      </c>
    </row>
    <row r="83" spans="1:38" s="109" customFormat="1" ht="18.75" customHeight="1" x14ac:dyDescent="0.15">
      <c r="A83" s="97"/>
      <c r="B83" s="98"/>
      <c r="C83" s="182"/>
      <c r="D83" s="183"/>
      <c r="E83" s="101"/>
      <c r="F83" s="183"/>
      <c r="G83" s="101"/>
      <c r="H83" s="177" t="s">
        <v>123</v>
      </c>
      <c r="I83" s="129" t="s">
        <v>184</v>
      </c>
      <c r="J83" s="105" t="s">
        <v>142</v>
      </c>
      <c r="K83" s="150"/>
      <c r="L83" s="163" t="s">
        <v>184</v>
      </c>
      <c r="M83" s="105" t="s">
        <v>150</v>
      </c>
      <c r="N83" s="166"/>
      <c r="O83" s="136"/>
      <c r="P83" s="136"/>
      <c r="Q83" s="136"/>
      <c r="R83" s="136"/>
      <c r="S83" s="136"/>
      <c r="T83" s="136"/>
      <c r="U83" s="136"/>
      <c r="V83" s="136"/>
      <c r="W83" s="136"/>
      <c r="X83" s="144"/>
      <c r="Y83" s="133"/>
      <c r="Z83" s="95"/>
      <c r="AA83" s="95"/>
      <c r="AB83" s="96"/>
      <c r="AC83" s="357"/>
      <c r="AD83" s="358"/>
      <c r="AE83" s="358"/>
      <c r="AF83" s="359"/>
      <c r="AI83" s="109" t="str">
        <f>"55:field207:" &amp; IF(I83="■",1,IF(L83="■",2,0))</f>
        <v>55:field207:0</v>
      </c>
    </row>
    <row r="84" spans="1:38" s="109" customFormat="1" ht="18.75" customHeight="1" x14ac:dyDescent="0.15">
      <c r="A84" s="97"/>
      <c r="B84" s="98"/>
      <c r="C84" s="182"/>
      <c r="D84" s="183"/>
      <c r="E84" s="101"/>
      <c r="F84" s="102"/>
      <c r="G84" s="101"/>
      <c r="H84" s="177" t="s">
        <v>94</v>
      </c>
      <c r="I84" s="129" t="s">
        <v>188</v>
      </c>
      <c r="J84" s="105" t="s">
        <v>142</v>
      </c>
      <c r="K84" s="150"/>
      <c r="L84" s="163" t="s">
        <v>184</v>
      </c>
      <c r="M84" s="105" t="s">
        <v>150</v>
      </c>
      <c r="N84" s="166"/>
      <c r="O84" s="136"/>
      <c r="P84" s="136"/>
      <c r="Q84" s="136"/>
      <c r="R84" s="136"/>
      <c r="S84" s="136"/>
      <c r="T84" s="136"/>
      <c r="U84" s="136"/>
      <c r="V84" s="136"/>
      <c r="W84" s="136"/>
      <c r="X84" s="144"/>
      <c r="Y84" s="133"/>
      <c r="Z84" s="95"/>
      <c r="AA84" s="95"/>
      <c r="AB84" s="96"/>
      <c r="AC84" s="357"/>
      <c r="AD84" s="358"/>
      <c r="AE84" s="358"/>
      <c r="AF84" s="359"/>
      <c r="AI84" s="109" t="str">
        <f>"55:ryouyoushoku_code:" &amp; IF(I84="■",1,IF(L84="■",2,0))</f>
        <v>55:ryouyoushoku_code:0</v>
      </c>
    </row>
    <row r="85" spans="1:38" s="109" customFormat="1" ht="18.75" customHeight="1" x14ac:dyDescent="0.15">
      <c r="A85" s="97"/>
      <c r="B85" s="98"/>
      <c r="C85" s="182"/>
      <c r="D85" s="183"/>
      <c r="E85" s="101"/>
      <c r="F85" s="102"/>
      <c r="G85" s="101"/>
      <c r="H85" s="177" t="s">
        <v>95</v>
      </c>
      <c r="I85" s="134" t="s">
        <v>184</v>
      </c>
      <c r="J85" s="135" t="s">
        <v>142</v>
      </c>
      <c r="K85" s="135"/>
      <c r="L85" s="138" t="s">
        <v>184</v>
      </c>
      <c r="M85" s="135" t="s">
        <v>143</v>
      </c>
      <c r="N85" s="135"/>
      <c r="O85" s="138" t="s">
        <v>184</v>
      </c>
      <c r="P85" s="135" t="s">
        <v>144</v>
      </c>
      <c r="Q85" s="140"/>
      <c r="R85" s="136"/>
      <c r="S85" s="136"/>
      <c r="T85" s="136"/>
      <c r="U85" s="136"/>
      <c r="V85" s="136"/>
      <c r="W85" s="136"/>
      <c r="X85" s="144"/>
      <c r="Y85" s="133"/>
      <c r="Z85" s="95"/>
      <c r="AA85" s="95"/>
      <c r="AB85" s="96"/>
      <c r="AC85" s="357"/>
      <c r="AD85" s="358"/>
      <c r="AE85" s="358"/>
      <c r="AF85" s="359"/>
      <c r="AI85" s="109" t="str">
        <f>"55:ninti_senmoncare_code:" &amp; IF(I85="■",1,IF(O85="■",3,IF(L85="■",2,0)))</f>
        <v>55:ninti_senmoncare_code:0</v>
      </c>
    </row>
    <row r="86" spans="1:38" s="109" customFormat="1" ht="18.75" customHeight="1" x14ac:dyDescent="0.15">
      <c r="A86" s="97"/>
      <c r="B86" s="98"/>
      <c r="C86" s="182"/>
      <c r="D86" s="183"/>
      <c r="E86" s="101"/>
      <c r="F86" s="102"/>
      <c r="G86" s="101"/>
      <c r="H86" s="177" t="s">
        <v>200</v>
      </c>
      <c r="I86" s="134" t="s">
        <v>184</v>
      </c>
      <c r="J86" s="135" t="s">
        <v>142</v>
      </c>
      <c r="K86" s="135"/>
      <c r="L86" s="138" t="s">
        <v>184</v>
      </c>
      <c r="M86" s="135" t="s">
        <v>143</v>
      </c>
      <c r="N86" s="135"/>
      <c r="O86" s="138" t="s">
        <v>184</v>
      </c>
      <c r="P86" s="135" t="s">
        <v>144</v>
      </c>
      <c r="Q86" s="136"/>
      <c r="R86" s="136"/>
      <c r="S86" s="136"/>
      <c r="T86" s="136"/>
      <c r="U86" s="136"/>
      <c r="V86" s="136"/>
      <c r="W86" s="136"/>
      <c r="X86" s="144"/>
      <c r="Y86" s="133"/>
      <c r="Z86" s="95"/>
      <c r="AA86" s="95"/>
      <c r="AB86" s="96"/>
      <c r="AC86" s="357"/>
      <c r="AD86" s="358"/>
      <c r="AE86" s="358"/>
      <c r="AF86" s="359"/>
      <c r="AI86" s="109" t="str">
        <f>"55:field228:" &amp; IF(I86="■",1,IF(L86="■",2,IF(O86="■",3,0)))</f>
        <v>55:field228:0</v>
      </c>
    </row>
    <row r="87" spans="1:38" s="109" customFormat="1" ht="18.75" customHeight="1" x14ac:dyDescent="0.15">
      <c r="A87" s="97"/>
      <c r="B87" s="98"/>
      <c r="C87" s="182"/>
      <c r="D87" s="183"/>
      <c r="E87" s="101"/>
      <c r="F87" s="102"/>
      <c r="G87" s="101"/>
      <c r="H87" s="177" t="s">
        <v>130</v>
      </c>
      <c r="I87" s="134" t="s">
        <v>184</v>
      </c>
      <c r="J87" s="135" t="s">
        <v>142</v>
      </c>
      <c r="K87" s="135"/>
      <c r="L87" s="138" t="s">
        <v>184</v>
      </c>
      <c r="M87" s="135" t="s">
        <v>143</v>
      </c>
      <c r="N87" s="135"/>
      <c r="O87" s="138" t="s">
        <v>184</v>
      </c>
      <c r="P87" s="135" t="s">
        <v>144</v>
      </c>
      <c r="Q87" s="140"/>
      <c r="R87" s="135"/>
      <c r="S87" s="135"/>
      <c r="T87" s="135"/>
      <c r="U87" s="135"/>
      <c r="V87" s="135"/>
      <c r="W87" s="135"/>
      <c r="X87" s="143"/>
      <c r="Y87" s="133"/>
      <c r="Z87" s="95"/>
      <c r="AA87" s="95"/>
      <c r="AB87" s="96"/>
      <c r="AC87" s="357"/>
      <c r="AD87" s="358"/>
      <c r="AE87" s="358"/>
      <c r="AF87" s="359"/>
      <c r="AI87" s="109" t="str">
        <f>"55:field164:" &amp; IF(I87="■",1,IF(L87="■",2,IF(O87="■",3,0)))</f>
        <v>55:field164:0</v>
      </c>
    </row>
    <row r="88" spans="1:38" s="109" customFormat="1" ht="18.75" customHeight="1" x14ac:dyDescent="0.15">
      <c r="A88" s="97"/>
      <c r="B88" s="98"/>
      <c r="C88" s="182"/>
      <c r="D88" s="183"/>
      <c r="E88" s="101"/>
      <c r="F88" s="102"/>
      <c r="G88" s="101"/>
      <c r="H88" s="177" t="s">
        <v>206</v>
      </c>
      <c r="I88" s="134" t="s">
        <v>184</v>
      </c>
      <c r="J88" s="135" t="s">
        <v>142</v>
      </c>
      <c r="K88" s="135"/>
      <c r="L88" s="138" t="s">
        <v>184</v>
      </c>
      <c r="M88" s="105" t="s">
        <v>150</v>
      </c>
      <c r="N88" s="135"/>
      <c r="O88" s="135"/>
      <c r="P88" s="135"/>
      <c r="Q88" s="136"/>
      <c r="R88" s="136"/>
      <c r="S88" s="136"/>
      <c r="T88" s="136"/>
      <c r="U88" s="136"/>
      <c r="V88" s="136"/>
      <c r="W88" s="136"/>
      <c r="X88" s="144"/>
      <c r="Y88" s="133"/>
      <c r="Z88" s="95"/>
      <c r="AA88" s="95"/>
      <c r="AB88" s="96"/>
      <c r="AC88" s="357"/>
      <c r="AD88" s="358"/>
      <c r="AE88" s="358"/>
      <c r="AF88" s="359"/>
      <c r="AI88" s="109" t="str">
        <f>"55:field226:" &amp; IF(I88="■",1,IF(L88="■",2,0))</f>
        <v>55:field226:0</v>
      </c>
    </row>
    <row r="89" spans="1:38" s="109" customFormat="1" ht="18.75" customHeight="1" x14ac:dyDescent="0.15">
      <c r="A89" s="97"/>
      <c r="B89" s="98"/>
      <c r="C89" s="182"/>
      <c r="D89" s="183"/>
      <c r="E89" s="101"/>
      <c r="F89" s="102"/>
      <c r="G89" s="101"/>
      <c r="H89" s="177" t="s">
        <v>207</v>
      </c>
      <c r="I89" s="134" t="s">
        <v>184</v>
      </c>
      <c r="J89" s="135" t="s">
        <v>142</v>
      </c>
      <c r="K89" s="135"/>
      <c r="L89" s="138" t="s">
        <v>184</v>
      </c>
      <c r="M89" s="105" t="s">
        <v>150</v>
      </c>
      <c r="N89" s="135"/>
      <c r="O89" s="135"/>
      <c r="P89" s="135"/>
      <c r="Q89" s="136"/>
      <c r="R89" s="136"/>
      <c r="S89" s="136"/>
      <c r="T89" s="136"/>
      <c r="U89" s="136"/>
      <c r="V89" s="136"/>
      <c r="W89" s="136"/>
      <c r="X89" s="144"/>
      <c r="Y89" s="133"/>
      <c r="Z89" s="95"/>
      <c r="AA89" s="95"/>
      <c r="AB89" s="96"/>
      <c r="AC89" s="357"/>
      <c r="AD89" s="358"/>
      <c r="AE89" s="358"/>
      <c r="AF89" s="359"/>
      <c r="AI89" s="109" t="str">
        <f>"55:field227:" &amp; IF(I89="■",1,IF(L89="■",2,0))</f>
        <v>55:field227:0</v>
      </c>
    </row>
    <row r="90" spans="1:38" s="109" customFormat="1" ht="18.75" customHeight="1" x14ac:dyDescent="0.15">
      <c r="A90" s="97"/>
      <c r="B90" s="98"/>
      <c r="C90" s="182"/>
      <c r="D90" s="183"/>
      <c r="E90" s="101"/>
      <c r="F90" s="102"/>
      <c r="G90" s="101"/>
      <c r="H90" s="184" t="s">
        <v>199</v>
      </c>
      <c r="I90" s="134" t="s">
        <v>184</v>
      </c>
      <c r="J90" s="135" t="s">
        <v>142</v>
      </c>
      <c r="K90" s="135"/>
      <c r="L90" s="138" t="s">
        <v>184</v>
      </c>
      <c r="M90" s="135" t="s">
        <v>143</v>
      </c>
      <c r="N90" s="135"/>
      <c r="O90" s="138" t="s">
        <v>184</v>
      </c>
      <c r="P90" s="135" t="s">
        <v>144</v>
      </c>
      <c r="Q90" s="140"/>
      <c r="R90" s="140"/>
      <c r="S90" s="140"/>
      <c r="T90" s="140"/>
      <c r="U90" s="185"/>
      <c r="V90" s="185"/>
      <c r="W90" s="185"/>
      <c r="X90" s="186"/>
      <c r="Y90" s="133"/>
      <c r="Z90" s="95"/>
      <c r="AA90" s="95"/>
      <c r="AB90" s="96"/>
      <c r="AC90" s="357"/>
      <c r="AD90" s="358"/>
      <c r="AE90" s="358"/>
      <c r="AF90" s="359"/>
      <c r="AI90" s="109" t="str">
        <f>"55:field225:" &amp; IF(I90="■",1,IF(L90="■",2,IF(O90="■",3,0)))</f>
        <v>55:field225:0</v>
      </c>
    </row>
    <row r="91" spans="1:38" s="109" customFormat="1" ht="18.75" customHeight="1" x14ac:dyDescent="0.15">
      <c r="A91" s="97"/>
      <c r="B91" s="98"/>
      <c r="C91" s="182"/>
      <c r="D91" s="183"/>
      <c r="E91" s="101"/>
      <c r="F91" s="102"/>
      <c r="G91" s="101"/>
      <c r="H91" s="177" t="s">
        <v>96</v>
      </c>
      <c r="I91" s="134" t="s">
        <v>184</v>
      </c>
      <c r="J91" s="135" t="s">
        <v>142</v>
      </c>
      <c r="K91" s="135"/>
      <c r="L91" s="138" t="s">
        <v>184</v>
      </c>
      <c r="M91" s="135" t="s">
        <v>146</v>
      </c>
      <c r="N91" s="135"/>
      <c r="O91" s="138" t="s">
        <v>184</v>
      </c>
      <c r="P91" s="135" t="s">
        <v>147</v>
      </c>
      <c r="Q91" s="166"/>
      <c r="R91" s="138" t="s">
        <v>184</v>
      </c>
      <c r="S91" s="135" t="s">
        <v>151</v>
      </c>
      <c r="T91" s="135"/>
      <c r="U91" s="135"/>
      <c r="V91" s="135"/>
      <c r="W91" s="135"/>
      <c r="X91" s="143"/>
      <c r="Y91" s="133"/>
      <c r="Z91" s="95"/>
      <c r="AA91" s="95"/>
      <c r="AB91" s="96"/>
      <c r="AC91" s="357"/>
      <c r="AD91" s="358"/>
      <c r="AE91" s="358"/>
      <c r="AF91" s="359"/>
      <c r="AI91" s="109" t="str">
        <f>"55:serteikyo_kyoka_code:" &amp; IF(I91="■",1,IF(L91="■",6,IF(O91="■",5,IF(R91="■",7,0))))</f>
        <v>55:serteikyo_kyoka_code:0</v>
      </c>
    </row>
    <row r="92" spans="1:38" s="109" customFormat="1" ht="18.75" customHeight="1" x14ac:dyDescent="0.15">
      <c r="A92" s="152"/>
      <c r="B92" s="153"/>
      <c r="C92" s="154"/>
      <c r="D92" s="155"/>
      <c r="E92" s="156"/>
      <c r="F92" s="157"/>
      <c r="G92" s="158"/>
      <c r="H92" s="85" t="s">
        <v>208</v>
      </c>
      <c r="I92" s="159" t="s">
        <v>184</v>
      </c>
      <c r="J92" s="86" t="s">
        <v>142</v>
      </c>
      <c r="K92" s="86"/>
      <c r="L92" s="160" t="s">
        <v>184</v>
      </c>
      <c r="M92" s="86" t="s">
        <v>195</v>
      </c>
      <c r="N92" s="87"/>
      <c r="O92" s="160" t="s">
        <v>184</v>
      </c>
      <c r="P92" s="89" t="s">
        <v>196</v>
      </c>
      <c r="Q92" s="88"/>
      <c r="R92" s="160" t="s">
        <v>184</v>
      </c>
      <c r="S92" s="86" t="s">
        <v>197</v>
      </c>
      <c r="T92" s="88"/>
      <c r="U92" s="160" t="s">
        <v>184</v>
      </c>
      <c r="V92" s="86" t="s">
        <v>198</v>
      </c>
      <c r="W92" s="90"/>
      <c r="X92" s="91"/>
      <c r="Y92" s="161"/>
      <c r="Z92" s="161"/>
      <c r="AA92" s="161"/>
      <c r="AB92" s="162"/>
      <c r="AC92" s="363"/>
      <c r="AD92" s="364"/>
      <c r="AE92" s="364"/>
      <c r="AF92" s="365"/>
      <c r="AI92" s="109" t="str">
        <f>"55:shoguukaizen_code:"&amp;IF(I92="■",1,IF(L92="■",7,IF(O92="■",8,IF(R92="■",9,IF(U92="■","A",0)))))</f>
        <v>55:shoguukaizen_code:0</v>
      </c>
    </row>
    <row r="93" spans="1:38" s="109" customFormat="1" ht="18.75" customHeight="1" x14ac:dyDescent="0.15">
      <c r="A93" s="119"/>
      <c r="B93" s="120"/>
      <c r="C93" s="189"/>
      <c r="D93" s="190"/>
      <c r="E93" s="116"/>
      <c r="F93" s="123"/>
      <c r="G93" s="116"/>
      <c r="H93" s="352" t="s">
        <v>89</v>
      </c>
      <c r="I93" s="128" t="s">
        <v>184</v>
      </c>
      <c r="J93" s="114" t="s">
        <v>153</v>
      </c>
      <c r="K93" s="126"/>
      <c r="L93" s="179"/>
      <c r="M93" s="125" t="s">
        <v>184</v>
      </c>
      <c r="N93" s="114" t="s">
        <v>157</v>
      </c>
      <c r="O93" s="179"/>
      <c r="P93" s="179"/>
      <c r="Q93" s="125" t="s">
        <v>184</v>
      </c>
      <c r="R93" s="114" t="s">
        <v>158</v>
      </c>
      <c r="S93" s="179"/>
      <c r="T93" s="179"/>
      <c r="U93" s="125" t="s">
        <v>184</v>
      </c>
      <c r="V93" s="114" t="s">
        <v>159</v>
      </c>
      <c r="W93" s="179"/>
      <c r="X93" s="172"/>
      <c r="Y93" s="128" t="s">
        <v>184</v>
      </c>
      <c r="Z93" s="114" t="s">
        <v>141</v>
      </c>
      <c r="AA93" s="114"/>
      <c r="AB93" s="127"/>
      <c r="AC93" s="354"/>
      <c r="AD93" s="355"/>
      <c r="AE93" s="355"/>
      <c r="AF93" s="356"/>
      <c r="AG93" s="109" t="str">
        <f>"ser_code = '" &amp; IF(A109="■",55,"") &amp; "'"</f>
        <v>ser_code = ''</v>
      </c>
      <c r="AH93" s="109" t="str">
        <f>"55:jininkbn_code:"&amp;IF(F109="■",1,IF(F110="■",2,0))</f>
        <v>55:jininkbn_code:0</v>
      </c>
      <c r="AI93" s="109" t="str">
        <f>"55:yakan_kinmu_code:" &amp; IF(I93="■",1,IF(M93="■",2,IF(Q93="■",3,IF(U93="■",7,IF(I94="■",5,IF(M94="■",6,0))))))</f>
        <v>55:yakan_kinmu_code:0</v>
      </c>
      <c r="AJ93" s="109" t="str">
        <f>"55:field203:" &amp; IF(Y93="■",1,IF(Y94="■",2,0))</f>
        <v>55:field203:0</v>
      </c>
    </row>
    <row r="94" spans="1:38" s="109" customFormat="1" ht="18.75" customHeight="1" x14ac:dyDescent="0.15">
      <c r="A94" s="97"/>
      <c r="B94" s="98"/>
      <c r="C94" s="182"/>
      <c r="D94" s="183"/>
      <c r="E94" s="101"/>
      <c r="F94" s="102"/>
      <c r="G94" s="101"/>
      <c r="H94" s="362"/>
      <c r="I94" s="129" t="s">
        <v>184</v>
      </c>
      <c r="J94" s="105" t="s">
        <v>160</v>
      </c>
      <c r="K94" s="150"/>
      <c r="L94" s="130"/>
      <c r="M94" s="163" t="s">
        <v>184</v>
      </c>
      <c r="N94" s="105" t="s">
        <v>154</v>
      </c>
      <c r="O94" s="130"/>
      <c r="P94" s="130"/>
      <c r="Q94" s="130"/>
      <c r="R94" s="130"/>
      <c r="S94" s="130"/>
      <c r="T94" s="130"/>
      <c r="U94" s="130"/>
      <c r="V94" s="130"/>
      <c r="W94" s="130"/>
      <c r="X94" s="175"/>
      <c r="Y94" s="117" t="s">
        <v>184</v>
      </c>
      <c r="Z94" s="94" t="s">
        <v>145</v>
      </c>
      <c r="AA94" s="95"/>
      <c r="AB94" s="96"/>
      <c r="AC94" s="357"/>
      <c r="AD94" s="358"/>
      <c r="AE94" s="358"/>
      <c r="AF94" s="359"/>
      <c r="AG94" s="109" t="str">
        <f>"55:sisetukbn_code:" &amp; IF(D109="■",4,0)</f>
        <v>55:sisetukbn_code:0</v>
      </c>
    </row>
    <row r="95" spans="1:38" s="109" customFormat="1" ht="18.75" customHeight="1" x14ac:dyDescent="0.15">
      <c r="A95" s="97"/>
      <c r="B95" s="98"/>
      <c r="C95" s="182"/>
      <c r="D95" s="183"/>
      <c r="E95" s="101"/>
      <c r="F95" s="102"/>
      <c r="G95" s="101"/>
      <c r="H95" s="366" t="s">
        <v>87</v>
      </c>
      <c r="I95" s="164" t="s">
        <v>184</v>
      </c>
      <c r="J95" s="146" t="s">
        <v>142</v>
      </c>
      <c r="K95" s="146"/>
      <c r="L95" s="168"/>
      <c r="M95" s="165" t="s">
        <v>184</v>
      </c>
      <c r="N95" s="146" t="s">
        <v>152</v>
      </c>
      <c r="O95" s="146"/>
      <c r="P95" s="168"/>
      <c r="Q95" s="125" t="s">
        <v>184</v>
      </c>
      <c r="R95" s="168" t="s">
        <v>173</v>
      </c>
      <c r="S95" s="168"/>
      <c r="T95" s="168"/>
      <c r="U95" s="125" t="s">
        <v>184</v>
      </c>
      <c r="V95" s="168" t="s">
        <v>174</v>
      </c>
      <c r="W95" s="185"/>
      <c r="X95" s="186"/>
      <c r="Y95" s="133"/>
      <c r="Z95" s="95"/>
      <c r="AA95" s="95"/>
      <c r="AB95" s="96"/>
      <c r="AC95" s="357"/>
      <c r="AD95" s="358"/>
      <c r="AE95" s="358"/>
      <c r="AF95" s="359"/>
      <c r="AI95" s="109" t="str">
        <f>"55:"&amp;IF(AND(I95="□",M95="□",Q95="□",U95="□",I96="□",M96="□"),"ketu_doctor_code:0",IF(I95="■","ketu_doctor_code:1:field197:1:ketu_kangos_code:1:ketu_kshoku_code:1:ketu_ksiensou_code:1",IF(M95="■","ketu_doctor_code:2","ketu_doctor_code:1")
&amp;IF(Q95="■",":field197:2",":field197:1")
&amp;IF(U95="■",":ketu_kangos_code:2",":ketu_kangos_code:1")
&amp;IF(I96="■",":ketu_kshoku_code:2",":ketu_kshoku_code:1")
&amp;IF(M96="■",":ketu_ksiensou_code:2",":ketu_ksiensou_code:1")))</f>
        <v>55:ketu_doctor_code:0</v>
      </c>
    </row>
    <row r="96" spans="1:38" s="109" customFormat="1" ht="18.75" customHeight="1" x14ac:dyDescent="0.15">
      <c r="A96" s="97"/>
      <c r="B96" s="98"/>
      <c r="C96" s="182"/>
      <c r="D96" s="183"/>
      <c r="E96" s="101"/>
      <c r="F96" s="102"/>
      <c r="G96" s="101"/>
      <c r="H96" s="362"/>
      <c r="I96" s="129" t="s">
        <v>184</v>
      </c>
      <c r="J96" s="130" t="s">
        <v>175</v>
      </c>
      <c r="K96" s="105"/>
      <c r="L96" s="130"/>
      <c r="M96" s="163" t="s">
        <v>184</v>
      </c>
      <c r="N96" s="105" t="s">
        <v>189</v>
      </c>
      <c r="O96" s="105"/>
      <c r="P96" s="130"/>
      <c r="Q96" s="130"/>
      <c r="R96" s="130"/>
      <c r="S96" s="130"/>
      <c r="T96" s="130"/>
      <c r="U96" s="130"/>
      <c r="V96" s="130"/>
      <c r="W96" s="131"/>
      <c r="X96" s="132"/>
      <c r="Y96" s="133"/>
      <c r="Z96" s="95"/>
      <c r="AA96" s="95"/>
      <c r="AB96" s="96"/>
      <c r="AC96" s="357"/>
      <c r="AD96" s="358"/>
      <c r="AE96" s="358"/>
      <c r="AF96" s="359"/>
    </row>
    <row r="97" spans="1:35" s="109" customFormat="1" ht="18.75" customHeight="1" x14ac:dyDescent="0.15">
      <c r="A97" s="97"/>
      <c r="B97" s="98"/>
      <c r="C97" s="182"/>
      <c r="D97" s="183"/>
      <c r="E97" s="101"/>
      <c r="F97" s="102"/>
      <c r="G97" s="101"/>
      <c r="H97" s="177" t="s">
        <v>90</v>
      </c>
      <c r="I97" s="134" t="s">
        <v>184</v>
      </c>
      <c r="J97" s="135" t="s">
        <v>148</v>
      </c>
      <c r="K97" s="136"/>
      <c r="L97" s="137"/>
      <c r="M97" s="138" t="s">
        <v>184</v>
      </c>
      <c r="N97" s="135" t="s">
        <v>149</v>
      </c>
      <c r="O97" s="136"/>
      <c r="P97" s="136"/>
      <c r="Q97" s="136"/>
      <c r="R97" s="136"/>
      <c r="S97" s="136"/>
      <c r="T97" s="136"/>
      <c r="U97" s="136"/>
      <c r="V97" s="136"/>
      <c r="W97" s="136"/>
      <c r="X97" s="144"/>
      <c r="Y97" s="133"/>
      <c r="Z97" s="95"/>
      <c r="AA97" s="95"/>
      <c r="AB97" s="96"/>
      <c r="AC97" s="357"/>
      <c r="AD97" s="358"/>
      <c r="AE97" s="358"/>
      <c r="AF97" s="359"/>
      <c r="AI97" s="109" t="str">
        <f>"55:unitcare_code:" &amp; IF(I97="■",1,IF(M97="■",2,0))</f>
        <v>55:unitcare_code:0</v>
      </c>
    </row>
    <row r="98" spans="1:35" s="109" customFormat="1" ht="18.75" customHeight="1" x14ac:dyDescent="0.15">
      <c r="A98" s="97"/>
      <c r="B98" s="98"/>
      <c r="C98" s="182"/>
      <c r="D98" s="183"/>
      <c r="E98" s="101"/>
      <c r="F98" s="102"/>
      <c r="G98" s="101"/>
      <c r="H98" s="177" t="s">
        <v>92</v>
      </c>
      <c r="I98" s="134" t="s">
        <v>184</v>
      </c>
      <c r="J98" s="135" t="s">
        <v>185</v>
      </c>
      <c r="K98" s="136"/>
      <c r="L98" s="137"/>
      <c r="M98" s="138" t="s">
        <v>184</v>
      </c>
      <c r="N98" s="135" t="s">
        <v>186</v>
      </c>
      <c r="O98" s="140"/>
      <c r="P98" s="136"/>
      <c r="Q98" s="136"/>
      <c r="R98" s="136"/>
      <c r="S98" s="136"/>
      <c r="T98" s="136"/>
      <c r="U98" s="136"/>
      <c r="V98" s="136"/>
      <c r="W98" s="136"/>
      <c r="X98" s="144"/>
      <c r="Y98" s="133"/>
      <c r="Z98" s="95"/>
      <c r="AA98" s="95"/>
      <c r="AB98" s="96"/>
      <c r="AC98" s="357"/>
      <c r="AD98" s="358"/>
      <c r="AE98" s="358"/>
      <c r="AF98" s="359"/>
      <c r="AI98" s="109" t="str">
        <f>"55:sintaikousoku_code:" &amp; IF(I98="■",1,IF(M98="■",2,0))</f>
        <v>55:sintaikousoku_code:0</v>
      </c>
    </row>
    <row r="99" spans="1:35" s="109" customFormat="1" ht="18.75" customHeight="1" x14ac:dyDescent="0.15">
      <c r="A99" s="97"/>
      <c r="B99" s="98"/>
      <c r="C99" s="182"/>
      <c r="D99" s="183"/>
      <c r="E99" s="101"/>
      <c r="F99" s="102"/>
      <c r="G99" s="101"/>
      <c r="H99" s="177" t="s">
        <v>124</v>
      </c>
      <c r="I99" s="134" t="s">
        <v>184</v>
      </c>
      <c r="J99" s="135" t="s">
        <v>185</v>
      </c>
      <c r="K99" s="136"/>
      <c r="L99" s="137"/>
      <c r="M99" s="138" t="s">
        <v>184</v>
      </c>
      <c r="N99" s="135" t="s">
        <v>186</v>
      </c>
      <c r="O99" s="140"/>
      <c r="P99" s="136"/>
      <c r="Q99" s="136"/>
      <c r="R99" s="136"/>
      <c r="S99" s="136"/>
      <c r="T99" s="136"/>
      <c r="U99" s="136"/>
      <c r="V99" s="136"/>
      <c r="W99" s="136"/>
      <c r="X99" s="144"/>
      <c r="Y99" s="133"/>
      <c r="Z99" s="95"/>
      <c r="AA99" s="95"/>
      <c r="AB99" s="96"/>
      <c r="AC99" s="357"/>
      <c r="AD99" s="358"/>
      <c r="AE99" s="358"/>
      <c r="AF99" s="359"/>
      <c r="AI99" s="109" t="str">
        <f>"55:field208:" &amp; IF(I99="■",1,IF(M99="■",2,0))</f>
        <v>55:field208:0</v>
      </c>
    </row>
    <row r="100" spans="1:35" s="109" customFormat="1" ht="19.5" customHeight="1" x14ac:dyDescent="0.15">
      <c r="A100" s="97"/>
      <c r="B100" s="98"/>
      <c r="C100" s="99"/>
      <c r="D100" s="100"/>
      <c r="E100" s="101"/>
      <c r="F100" s="102"/>
      <c r="G100" s="103"/>
      <c r="H100" s="104" t="s">
        <v>192</v>
      </c>
      <c r="I100" s="134" t="s">
        <v>184</v>
      </c>
      <c r="J100" s="135" t="s">
        <v>185</v>
      </c>
      <c r="K100" s="136"/>
      <c r="L100" s="137"/>
      <c r="M100" s="138" t="s">
        <v>184</v>
      </c>
      <c r="N100" s="135" t="s">
        <v>193</v>
      </c>
      <c r="O100" s="139"/>
      <c r="P100" s="135"/>
      <c r="Q100" s="140"/>
      <c r="R100" s="140"/>
      <c r="S100" s="140"/>
      <c r="T100" s="140"/>
      <c r="U100" s="140"/>
      <c r="V100" s="140"/>
      <c r="W100" s="140"/>
      <c r="X100" s="141"/>
      <c r="Y100" s="95"/>
      <c r="Z100" s="95"/>
      <c r="AA100" s="95"/>
      <c r="AB100" s="96"/>
      <c r="AC100" s="357"/>
      <c r="AD100" s="358"/>
      <c r="AE100" s="358"/>
      <c r="AF100" s="359"/>
      <c r="AI100" s="109" t="str">
        <f>"55:field223:" &amp; IF(I100="■",1,IF(M100="■",2,0))</f>
        <v>55:field223:0</v>
      </c>
    </row>
    <row r="101" spans="1:35" s="109" customFormat="1" ht="19.5" customHeight="1" x14ac:dyDescent="0.15">
      <c r="A101" s="97"/>
      <c r="B101" s="98"/>
      <c r="C101" s="99"/>
      <c r="D101" s="100"/>
      <c r="E101" s="101"/>
      <c r="F101" s="102"/>
      <c r="G101" s="103"/>
      <c r="H101" s="104" t="s">
        <v>201</v>
      </c>
      <c r="I101" s="134" t="s">
        <v>184</v>
      </c>
      <c r="J101" s="135" t="s">
        <v>185</v>
      </c>
      <c r="K101" s="136"/>
      <c r="L101" s="137"/>
      <c r="M101" s="138" t="s">
        <v>184</v>
      </c>
      <c r="N101" s="135" t="s">
        <v>193</v>
      </c>
      <c r="O101" s="139"/>
      <c r="P101" s="135"/>
      <c r="Q101" s="140"/>
      <c r="R101" s="140"/>
      <c r="S101" s="140"/>
      <c r="T101" s="140"/>
      <c r="U101" s="140"/>
      <c r="V101" s="140"/>
      <c r="W101" s="140"/>
      <c r="X101" s="141"/>
      <c r="Y101" s="95"/>
      <c r="Z101" s="95"/>
      <c r="AA101" s="95"/>
      <c r="AB101" s="96"/>
      <c r="AC101" s="357"/>
      <c r="AD101" s="358"/>
      <c r="AE101" s="358"/>
      <c r="AF101" s="359"/>
      <c r="AI101" s="109" t="str">
        <f>"55:field232:" &amp; IF(I101="■",1,IF(M101="■",2,0))</f>
        <v>55:field232:0</v>
      </c>
    </row>
    <row r="102" spans="1:35" s="109" customFormat="1" ht="18.75" customHeight="1" x14ac:dyDescent="0.15">
      <c r="A102" s="97"/>
      <c r="B102" s="98"/>
      <c r="C102" s="182"/>
      <c r="D102" s="183"/>
      <c r="E102" s="101"/>
      <c r="F102" s="102"/>
      <c r="G102" s="101"/>
      <c r="H102" s="367" t="s">
        <v>125</v>
      </c>
      <c r="I102" s="369" t="s">
        <v>184</v>
      </c>
      <c r="J102" s="360" t="s">
        <v>142</v>
      </c>
      <c r="K102" s="360"/>
      <c r="L102" s="371" t="s">
        <v>184</v>
      </c>
      <c r="M102" s="360" t="s">
        <v>150</v>
      </c>
      <c r="N102" s="360"/>
      <c r="O102" s="168"/>
      <c r="P102" s="168"/>
      <c r="Q102" s="168"/>
      <c r="R102" s="168"/>
      <c r="S102" s="168"/>
      <c r="T102" s="168"/>
      <c r="U102" s="168"/>
      <c r="V102" s="168"/>
      <c r="W102" s="168"/>
      <c r="X102" s="169"/>
      <c r="Y102" s="133"/>
      <c r="Z102" s="95"/>
      <c r="AA102" s="95"/>
      <c r="AB102" s="96"/>
      <c r="AC102" s="357"/>
      <c r="AD102" s="358"/>
      <c r="AE102" s="358"/>
      <c r="AF102" s="359"/>
      <c r="AI102" s="109" t="str">
        <f>"55:field206:" &amp; IF(I102="■",1,IF(L102="■",2,0))</f>
        <v>55:field206:0</v>
      </c>
    </row>
    <row r="103" spans="1:35" s="109" customFormat="1" ht="18.75" customHeight="1" x14ac:dyDescent="0.15">
      <c r="A103" s="97"/>
      <c r="B103" s="98"/>
      <c r="C103" s="182"/>
      <c r="D103" s="183"/>
      <c r="E103" s="101"/>
      <c r="F103" s="102"/>
      <c r="G103" s="101"/>
      <c r="H103" s="368"/>
      <c r="I103" s="370"/>
      <c r="J103" s="361"/>
      <c r="K103" s="361"/>
      <c r="L103" s="372"/>
      <c r="M103" s="361"/>
      <c r="N103" s="361"/>
      <c r="O103" s="130"/>
      <c r="P103" s="130"/>
      <c r="Q103" s="130"/>
      <c r="R103" s="130"/>
      <c r="S103" s="130"/>
      <c r="T103" s="130"/>
      <c r="U103" s="130"/>
      <c r="V103" s="130"/>
      <c r="W103" s="130"/>
      <c r="X103" s="175"/>
      <c r="Y103" s="133"/>
      <c r="Z103" s="95"/>
      <c r="AA103" s="95"/>
      <c r="AB103" s="96"/>
      <c r="AC103" s="357"/>
      <c r="AD103" s="358"/>
      <c r="AE103" s="358"/>
      <c r="AF103" s="359"/>
    </row>
    <row r="104" spans="1:35" s="109" customFormat="1" ht="18.75" customHeight="1" x14ac:dyDescent="0.15">
      <c r="A104" s="97"/>
      <c r="B104" s="98"/>
      <c r="C104" s="182"/>
      <c r="D104" s="183"/>
      <c r="E104" s="101"/>
      <c r="F104" s="102"/>
      <c r="G104" s="101"/>
      <c r="H104" s="177" t="s">
        <v>112</v>
      </c>
      <c r="I104" s="134" t="s">
        <v>184</v>
      </c>
      <c r="J104" s="135" t="s">
        <v>187</v>
      </c>
      <c r="K104" s="136"/>
      <c r="L104" s="137"/>
      <c r="M104" s="138" t="s">
        <v>184</v>
      </c>
      <c r="N104" s="135" t="s">
        <v>161</v>
      </c>
      <c r="O104" s="140"/>
      <c r="P104" s="136"/>
      <c r="Q104" s="136"/>
      <c r="R104" s="136"/>
      <c r="S104" s="136"/>
      <c r="T104" s="136"/>
      <c r="U104" s="136"/>
      <c r="V104" s="136"/>
      <c r="W104" s="136"/>
      <c r="X104" s="144"/>
      <c r="Y104" s="133"/>
      <c r="Z104" s="95"/>
      <c r="AA104" s="95"/>
      <c r="AB104" s="96"/>
      <c r="AC104" s="357"/>
      <c r="AD104" s="358"/>
      <c r="AE104" s="358"/>
      <c r="AF104" s="359"/>
      <c r="AI104" s="109" t="str">
        <f>"55:field190:" &amp; IF(I104="■",1,IF(M104="■",2,0))</f>
        <v>55:field190:0</v>
      </c>
    </row>
    <row r="105" spans="1:35" s="109" customFormat="1" ht="18.75" customHeight="1" x14ac:dyDescent="0.15">
      <c r="A105" s="97"/>
      <c r="B105" s="98"/>
      <c r="C105" s="182"/>
      <c r="D105" s="183"/>
      <c r="E105" s="101"/>
      <c r="F105" s="102"/>
      <c r="G105" s="101"/>
      <c r="H105" s="177" t="s">
        <v>113</v>
      </c>
      <c r="I105" s="134" t="s">
        <v>184</v>
      </c>
      <c r="J105" s="135" t="s">
        <v>187</v>
      </c>
      <c r="K105" s="136"/>
      <c r="L105" s="137"/>
      <c r="M105" s="138" t="s">
        <v>184</v>
      </c>
      <c r="N105" s="135" t="s">
        <v>161</v>
      </c>
      <c r="O105" s="140"/>
      <c r="P105" s="136"/>
      <c r="Q105" s="136"/>
      <c r="R105" s="136"/>
      <c r="S105" s="136"/>
      <c r="T105" s="136"/>
      <c r="U105" s="136"/>
      <c r="V105" s="136"/>
      <c r="W105" s="136"/>
      <c r="X105" s="144"/>
      <c r="Y105" s="133"/>
      <c r="Z105" s="95"/>
      <c r="AA105" s="95"/>
      <c r="AB105" s="96"/>
      <c r="AC105" s="357"/>
      <c r="AD105" s="358"/>
      <c r="AE105" s="358"/>
      <c r="AF105" s="359"/>
      <c r="AI105" s="109" t="str">
        <f>"55:field191:" &amp; IF(I105="■",1,IF(M105="■",2,0))</f>
        <v>55:field191:0</v>
      </c>
    </row>
    <row r="106" spans="1:35" s="109" customFormat="1" ht="18.75" customHeight="1" x14ac:dyDescent="0.15">
      <c r="A106" s="97"/>
      <c r="B106" s="98"/>
      <c r="C106" s="182"/>
      <c r="D106" s="183"/>
      <c r="E106" s="101"/>
      <c r="F106" s="102"/>
      <c r="G106" s="101"/>
      <c r="H106" s="177" t="s">
        <v>98</v>
      </c>
      <c r="I106" s="129" t="s">
        <v>184</v>
      </c>
      <c r="J106" s="105" t="s">
        <v>142</v>
      </c>
      <c r="K106" s="150"/>
      <c r="L106" s="163" t="s">
        <v>184</v>
      </c>
      <c r="M106" s="105" t="s">
        <v>150</v>
      </c>
      <c r="N106" s="166"/>
      <c r="O106" s="136"/>
      <c r="P106" s="136"/>
      <c r="Q106" s="136"/>
      <c r="R106" s="136"/>
      <c r="S106" s="136"/>
      <c r="T106" s="136"/>
      <c r="U106" s="136"/>
      <c r="V106" s="136"/>
      <c r="W106" s="136"/>
      <c r="X106" s="144"/>
      <c r="Y106" s="133"/>
      <c r="Z106" s="95"/>
      <c r="AA106" s="95"/>
      <c r="AB106" s="96"/>
      <c r="AC106" s="357"/>
      <c r="AD106" s="358"/>
      <c r="AE106" s="358"/>
      <c r="AF106" s="359"/>
      <c r="AI106" s="109" t="str">
        <f>"55:jyakuninti_uke_code:" &amp; IF(I106="■",1,IF(L106="■",2,0))</f>
        <v>55:jyakuninti_uke_code:0</v>
      </c>
    </row>
    <row r="107" spans="1:35" s="109" customFormat="1" ht="18.75" customHeight="1" x14ac:dyDescent="0.15">
      <c r="A107" s="97"/>
      <c r="B107" s="98"/>
      <c r="C107" s="182"/>
      <c r="D107" s="183"/>
      <c r="E107" s="101"/>
      <c r="F107" s="102"/>
      <c r="G107" s="101"/>
      <c r="H107" s="177" t="s">
        <v>123</v>
      </c>
      <c r="I107" s="129" t="s">
        <v>184</v>
      </c>
      <c r="J107" s="105" t="s">
        <v>142</v>
      </c>
      <c r="K107" s="150"/>
      <c r="L107" s="163" t="s">
        <v>184</v>
      </c>
      <c r="M107" s="105" t="s">
        <v>150</v>
      </c>
      <c r="N107" s="166"/>
      <c r="O107" s="136"/>
      <c r="P107" s="136"/>
      <c r="Q107" s="136"/>
      <c r="R107" s="136"/>
      <c r="S107" s="136"/>
      <c r="T107" s="136"/>
      <c r="U107" s="136"/>
      <c r="V107" s="136"/>
      <c r="W107" s="136"/>
      <c r="X107" s="144"/>
      <c r="Y107" s="133"/>
      <c r="Z107" s="95"/>
      <c r="AA107" s="95"/>
      <c r="AB107" s="96"/>
      <c r="AC107" s="357"/>
      <c r="AD107" s="358"/>
      <c r="AE107" s="358"/>
      <c r="AF107" s="359"/>
      <c r="AI107" s="109" t="str">
        <f>"55:field207:" &amp; IF(I107="■",1,IF(L107="■",2,0))</f>
        <v>55:field207:0</v>
      </c>
    </row>
    <row r="108" spans="1:35" s="109" customFormat="1" ht="18.75" customHeight="1" x14ac:dyDescent="0.15">
      <c r="A108" s="97"/>
      <c r="B108" s="98"/>
      <c r="C108" s="182"/>
      <c r="D108" s="183"/>
      <c r="E108" s="101"/>
      <c r="F108" s="102"/>
      <c r="G108" s="101"/>
      <c r="H108" s="177" t="s">
        <v>94</v>
      </c>
      <c r="I108" s="129" t="s">
        <v>184</v>
      </c>
      <c r="J108" s="105" t="s">
        <v>142</v>
      </c>
      <c r="K108" s="150"/>
      <c r="L108" s="163" t="s">
        <v>184</v>
      </c>
      <c r="M108" s="105" t="s">
        <v>150</v>
      </c>
      <c r="N108" s="166"/>
      <c r="O108" s="136"/>
      <c r="P108" s="136"/>
      <c r="Q108" s="136"/>
      <c r="R108" s="136"/>
      <c r="S108" s="136"/>
      <c r="T108" s="136"/>
      <c r="U108" s="136"/>
      <c r="V108" s="136"/>
      <c r="W108" s="136"/>
      <c r="X108" s="144"/>
      <c r="Y108" s="133"/>
      <c r="Z108" s="95"/>
      <c r="AA108" s="95"/>
      <c r="AB108" s="96"/>
      <c r="AC108" s="357"/>
      <c r="AD108" s="358"/>
      <c r="AE108" s="358"/>
      <c r="AF108" s="359"/>
      <c r="AI108" s="109" t="str">
        <f>"55:ryouyoushoku_code:" &amp; IF(I108="■",1,IF(L108="■",2,0))</f>
        <v>55:ryouyoushoku_code:0</v>
      </c>
    </row>
    <row r="109" spans="1:35" s="109" customFormat="1" ht="18.75" customHeight="1" x14ac:dyDescent="0.15">
      <c r="A109" s="117" t="s">
        <v>184</v>
      </c>
      <c r="B109" s="98">
        <v>55</v>
      </c>
      <c r="C109" s="182" t="s">
        <v>126</v>
      </c>
      <c r="D109" s="117" t="s">
        <v>184</v>
      </c>
      <c r="E109" s="101" t="s">
        <v>191</v>
      </c>
      <c r="F109" s="117" t="s">
        <v>184</v>
      </c>
      <c r="G109" s="101" t="s">
        <v>169</v>
      </c>
      <c r="H109" s="366" t="s">
        <v>111</v>
      </c>
      <c r="I109" s="164" t="s">
        <v>184</v>
      </c>
      <c r="J109" s="146" t="s">
        <v>155</v>
      </c>
      <c r="K109" s="146"/>
      <c r="L109" s="185"/>
      <c r="M109" s="185"/>
      <c r="N109" s="185"/>
      <c r="O109" s="185"/>
      <c r="P109" s="165" t="s">
        <v>184</v>
      </c>
      <c r="Q109" s="146" t="s">
        <v>156</v>
      </c>
      <c r="R109" s="185"/>
      <c r="S109" s="185"/>
      <c r="T109" s="185"/>
      <c r="U109" s="185"/>
      <c r="V109" s="185"/>
      <c r="W109" s="185"/>
      <c r="X109" s="186"/>
      <c r="Y109" s="133"/>
      <c r="Z109" s="95"/>
      <c r="AA109" s="95"/>
      <c r="AB109" s="96"/>
      <c r="AC109" s="357"/>
      <c r="AD109" s="358"/>
      <c r="AE109" s="358"/>
      <c r="AF109" s="359"/>
      <c r="AI109" s="109" t="str">
        <f>"55:" &amp; IF(AND(I109="□",P109="□",I110="□"),"tokusin_jyusho_code:0:tokusin_yakuzai_code:0:shuudan_comu_code:0",IF(I109="■","tokusin_jyusho_code:2","tokusin_jyusho_code:1")
&amp;IF(P109="■",":tokusin_yakuzai_code:2",":tokusin_yakuzai_code:1")
&amp;IF(I110="■",":shuudan_comu_code:2",":shuudan_comu_code:1"))</f>
        <v>55:tokusin_jyusho_code:0:tokusin_yakuzai_code:0:shuudan_comu_code:0</v>
      </c>
    </row>
    <row r="110" spans="1:35" s="109" customFormat="1" ht="18.75" customHeight="1" x14ac:dyDescent="0.15">
      <c r="A110" s="97"/>
      <c r="B110" s="98"/>
      <c r="C110" s="182"/>
      <c r="D110" s="183"/>
      <c r="E110" s="101"/>
      <c r="F110" s="117" t="s">
        <v>184</v>
      </c>
      <c r="G110" s="101" t="s">
        <v>170</v>
      </c>
      <c r="H110" s="362"/>
      <c r="I110" s="129" t="s">
        <v>184</v>
      </c>
      <c r="J110" s="105" t="s">
        <v>162</v>
      </c>
      <c r="K110" s="131"/>
      <c r="L110" s="131"/>
      <c r="M110" s="131"/>
      <c r="N110" s="131"/>
      <c r="O110" s="131"/>
      <c r="P110" s="131"/>
      <c r="Q110" s="130"/>
      <c r="R110" s="131"/>
      <c r="S110" s="131"/>
      <c r="T110" s="131"/>
      <c r="U110" s="131"/>
      <c r="V110" s="131"/>
      <c r="W110" s="131"/>
      <c r="X110" s="132"/>
      <c r="Y110" s="133"/>
      <c r="Z110" s="95"/>
      <c r="AA110" s="95"/>
      <c r="AB110" s="96"/>
      <c r="AC110" s="357"/>
      <c r="AD110" s="358"/>
      <c r="AE110" s="358"/>
      <c r="AF110" s="359"/>
    </row>
    <row r="111" spans="1:35" s="109" customFormat="1" ht="18.75" customHeight="1" x14ac:dyDescent="0.15">
      <c r="A111" s="97"/>
      <c r="B111" s="98"/>
      <c r="C111" s="182"/>
      <c r="D111" s="183"/>
      <c r="E111" s="101"/>
      <c r="F111" s="102"/>
      <c r="G111" s="101"/>
      <c r="H111" s="366" t="s">
        <v>91</v>
      </c>
      <c r="I111" s="164" t="s">
        <v>184</v>
      </c>
      <c r="J111" s="146" t="s">
        <v>163</v>
      </c>
      <c r="K111" s="151"/>
      <c r="L111" s="171"/>
      <c r="M111" s="165" t="s">
        <v>184</v>
      </c>
      <c r="N111" s="146" t="s">
        <v>164</v>
      </c>
      <c r="O111" s="185"/>
      <c r="P111" s="185"/>
      <c r="Q111" s="165" t="s">
        <v>184</v>
      </c>
      <c r="R111" s="146" t="s">
        <v>165</v>
      </c>
      <c r="S111" s="185"/>
      <c r="T111" s="185"/>
      <c r="U111" s="185"/>
      <c r="V111" s="185"/>
      <c r="W111" s="185"/>
      <c r="X111" s="186"/>
      <c r="Y111" s="133"/>
      <c r="Z111" s="95"/>
      <c r="AA111" s="95"/>
      <c r="AB111" s="96"/>
      <c r="AC111" s="357"/>
      <c r="AD111" s="358"/>
      <c r="AE111" s="358"/>
      <c r="AF111" s="359"/>
      <c r="AI111" s="109" t="str">
        <f>"55:"&amp;IF(AND(I111="□",M111="□",Q111="□",I112="□",Q112="□"),"koriha_rryoho1_code:0:koriha_sryoho_code:0:koriha_gengo_code:0:riha_seisin_code:0:koriha_other_code:0",IF(I111="■","koriha_rryoho1_code:2","koriha_rryoho1_code:1")
&amp;IF(M111="■",":koriha_sryoho_code:2",":koriha_sryoho_code:1")
&amp;IF(Q111="■",":koriha_gengo_code:2",":koriha_gengo_code:1")
&amp;IF(I112="■",":riha_seisin_code:2",":riha_seisin_code:1")
&amp;IF(Q112="■",":koriha_other_code:2",":koriha_other_code:1"))</f>
        <v>55:koriha_rryoho1_code:0:koriha_sryoho_code:0:koriha_gengo_code:0:riha_seisin_code:0:koriha_other_code:0</v>
      </c>
    </row>
    <row r="112" spans="1:35" s="109" customFormat="1" ht="18.75" customHeight="1" x14ac:dyDescent="0.15">
      <c r="A112" s="97"/>
      <c r="B112" s="98"/>
      <c r="C112" s="182"/>
      <c r="D112" s="183"/>
      <c r="E112" s="101"/>
      <c r="F112" s="102"/>
      <c r="G112" s="101"/>
      <c r="H112" s="362"/>
      <c r="I112" s="129" t="s">
        <v>184</v>
      </c>
      <c r="J112" s="105" t="s">
        <v>166</v>
      </c>
      <c r="K112" s="131"/>
      <c r="L112" s="131"/>
      <c r="M112" s="131"/>
      <c r="N112" s="131"/>
      <c r="O112" s="131"/>
      <c r="P112" s="131"/>
      <c r="Q112" s="163" t="s">
        <v>184</v>
      </c>
      <c r="R112" s="105" t="s">
        <v>167</v>
      </c>
      <c r="S112" s="130"/>
      <c r="T112" s="131"/>
      <c r="U112" s="131"/>
      <c r="V112" s="131"/>
      <c r="W112" s="131"/>
      <c r="X112" s="132"/>
      <c r="Y112" s="133"/>
      <c r="Z112" s="95"/>
      <c r="AA112" s="95"/>
      <c r="AB112" s="96"/>
      <c r="AC112" s="357"/>
      <c r="AD112" s="358"/>
      <c r="AE112" s="358"/>
      <c r="AF112" s="359"/>
    </row>
    <row r="113" spans="1:36" s="109" customFormat="1" ht="18.75" customHeight="1" x14ac:dyDescent="0.15">
      <c r="A113" s="97"/>
      <c r="B113" s="98"/>
      <c r="C113" s="182"/>
      <c r="D113" s="183"/>
      <c r="E113" s="101"/>
      <c r="F113" s="102"/>
      <c r="G113" s="101"/>
      <c r="H113" s="367" t="s">
        <v>202</v>
      </c>
      <c r="I113" s="369" t="s">
        <v>184</v>
      </c>
      <c r="J113" s="360" t="s">
        <v>142</v>
      </c>
      <c r="K113" s="360"/>
      <c r="L113" s="371" t="s">
        <v>184</v>
      </c>
      <c r="M113" s="360" t="s">
        <v>203</v>
      </c>
      <c r="N113" s="360"/>
      <c r="O113" s="360"/>
      <c r="P113" s="371" t="s">
        <v>184</v>
      </c>
      <c r="Q113" s="360" t="s">
        <v>204</v>
      </c>
      <c r="R113" s="360"/>
      <c r="S113" s="360"/>
      <c r="T113" s="371" t="s">
        <v>184</v>
      </c>
      <c r="U113" s="360" t="s">
        <v>205</v>
      </c>
      <c r="V113" s="360"/>
      <c r="W113" s="360"/>
      <c r="X113" s="373"/>
      <c r="Y113" s="133"/>
      <c r="Z113" s="95"/>
      <c r="AA113" s="95"/>
      <c r="AB113" s="96"/>
      <c r="AC113" s="357"/>
      <c r="AD113" s="358"/>
      <c r="AE113" s="358"/>
      <c r="AF113" s="359"/>
      <c r="AI113" s="109" t="str">
        <f>"55:"&amp;IF(AND(I113="□",L113="□",P113="□",T113="□"),"field236:0:field237:0:field238:0",IF(I113="■","field236:1:field237:1:field238:1",IF(L113="■","field236:2","field236:1")
&amp;IF(P113="■",":field237:2",":field237:1")
&amp;IF(T113="■",":field238:2",":field238:1")))</f>
        <v>55:field236:0:field237:0:field238:0</v>
      </c>
    </row>
    <row r="114" spans="1:36" s="109" customFormat="1" ht="18.75" customHeight="1" x14ac:dyDescent="0.15">
      <c r="A114" s="97"/>
      <c r="B114" s="98"/>
      <c r="C114" s="182"/>
      <c r="D114" s="183"/>
      <c r="E114" s="101"/>
      <c r="F114" s="102"/>
      <c r="G114" s="101"/>
      <c r="H114" s="368"/>
      <c r="I114" s="370"/>
      <c r="J114" s="361"/>
      <c r="K114" s="361"/>
      <c r="L114" s="372"/>
      <c r="M114" s="361"/>
      <c r="N114" s="361"/>
      <c r="O114" s="361"/>
      <c r="P114" s="372"/>
      <c r="Q114" s="361"/>
      <c r="R114" s="361"/>
      <c r="S114" s="361"/>
      <c r="T114" s="372"/>
      <c r="U114" s="361"/>
      <c r="V114" s="361"/>
      <c r="W114" s="361"/>
      <c r="X114" s="374"/>
      <c r="Y114" s="133"/>
      <c r="Z114" s="95"/>
      <c r="AA114" s="95"/>
      <c r="AB114" s="96"/>
      <c r="AC114" s="357"/>
      <c r="AD114" s="358"/>
      <c r="AE114" s="358"/>
      <c r="AF114" s="359"/>
    </row>
    <row r="115" spans="1:36" s="109" customFormat="1" ht="18.75" customHeight="1" x14ac:dyDescent="0.15">
      <c r="A115" s="97"/>
      <c r="B115" s="98"/>
      <c r="C115" s="182"/>
      <c r="D115" s="183"/>
      <c r="E115" s="101"/>
      <c r="F115" s="102"/>
      <c r="G115" s="101"/>
      <c r="H115" s="142" t="s">
        <v>97</v>
      </c>
      <c r="I115" s="129" t="s">
        <v>184</v>
      </c>
      <c r="J115" s="105" t="s">
        <v>142</v>
      </c>
      <c r="K115" s="150"/>
      <c r="L115" s="163" t="s">
        <v>184</v>
      </c>
      <c r="M115" s="105" t="s">
        <v>150</v>
      </c>
      <c r="N115" s="136"/>
      <c r="O115" s="136"/>
      <c r="P115" s="136"/>
      <c r="Q115" s="136"/>
      <c r="R115" s="136"/>
      <c r="S115" s="136"/>
      <c r="T115" s="136"/>
      <c r="U115" s="136"/>
      <c r="V115" s="136"/>
      <c r="W115" s="136"/>
      <c r="X115" s="144"/>
      <c r="Y115" s="133"/>
      <c r="Z115" s="95"/>
      <c r="AA115" s="95"/>
      <c r="AB115" s="96"/>
      <c r="AC115" s="357"/>
      <c r="AD115" s="358"/>
      <c r="AE115" s="358"/>
      <c r="AF115" s="359"/>
      <c r="AI115" s="109" t="str">
        <f>"55:ninti_riha_code:" &amp; IF(I115="■",1,IF(L115="■",2,0))</f>
        <v>55:ninti_riha_code:0</v>
      </c>
    </row>
    <row r="116" spans="1:36" s="109" customFormat="1" ht="18.75" customHeight="1" x14ac:dyDescent="0.15">
      <c r="A116" s="97"/>
      <c r="B116" s="98"/>
      <c r="C116" s="182"/>
      <c r="D116" s="183"/>
      <c r="E116" s="101"/>
      <c r="F116" s="102"/>
      <c r="G116" s="101"/>
      <c r="H116" s="177" t="s">
        <v>95</v>
      </c>
      <c r="I116" s="134" t="s">
        <v>184</v>
      </c>
      <c r="J116" s="135" t="s">
        <v>142</v>
      </c>
      <c r="K116" s="135"/>
      <c r="L116" s="138" t="s">
        <v>184</v>
      </c>
      <c r="M116" s="135" t="s">
        <v>143</v>
      </c>
      <c r="N116" s="135"/>
      <c r="O116" s="138" t="s">
        <v>184</v>
      </c>
      <c r="P116" s="135" t="s">
        <v>144</v>
      </c>
      <c r="Q116" s="140"/>
      <c r="R116" s="136"/>
      <c r="S116" s="136"/>
      <c r="T116" s="136"/>
      <c r="U116" s="136"/>
      <c r="V116" s="136"/>
      <c r="W116" s="136"/>
      <c r="X116" s="144"/>
      <c r="Y116" s="133"/>
      <c r="Z116" s="95"/>
      <c r="AA116" s="95"/>
      <c r="AB116" s="96"/>
      <c r="AC116" s="357"/>
      <c r="AD116" s="358"/>
      <c r="AE116" s="358"/>
      <c r="AF116" s="359"/>
      <c r="AI116" s="109" t="str">
        <f>"55:ninti_senmoncare_code:" &amp; IF(I116="■",1,IF(O116="■",3,IF(L116="■",2,0)))</f>
        <v>55:ninti_senmoncare_code:0</v>
      </c>
    </row>
    <row r="117" spans="1:36" s="109" customFormat="1" ht="18.75" customHeight="1" x14ac:dyDescent="0.15">
      <c r="A117" s="97"/>
      <c r="B117" s="98"/>
      <c r="C117" s="182"/>
      <c r="D117" s="183"/>
      <c r="E117" s="101"/>
      <c r="F117" s="102"/>
      <c r="G117" s="101"/>
      <c r="H117" s="177" t="s">
        <v>200</v>
      </c>
      <c r="I117" s="134" t="s">
        <v>184</v>
      </c>
      <c r="J117" s="135" t="s">
        <v>142</v>
      </c>
      <c r="K117" s="135"/>
      <c r="L117" s="138" t="s">
        <v>184</v>
      </c>
      <c r="M117" s="135" t="s">
        <v>143</v>
      </c>
      <c r="N117" s="135"/>
      <c r="O117" s="138" t="s">
        <v>184</v>
      </c>
      <c r="P117" s="135" t="s">
        <v>144</v>
      </c>
      <c r="Q117" s="136"/>
      <c r="R117" s="136"/>
      <c r="S117" s="136"/>
      <c r="T117" s="136"/>
      <c r="U117" s="136"/>
      <c r="V117" s="136"/>
      <c r="W117" s="136"/>
      <c r="X117" s="144"/>
      <c r="Y117" s="133"/>
      <c r="Z117" s="95"/>
      <c r="AA117" s="95"/>
      <c r="AB117" s="96"/>
      <c r="AC117" s="357"/>
      <c r="AD117" s="358"/>
      <c r="AE117" s="358"/>
      <c r="AF117" s="359"/>
      <c r="AI117" s="109" t="str">
        <f>"55:field228:" &amp; IF(I117="■",1,IF(L117="■",2,IF(O117="■",3,0)))</f>
        <v>55:field228:0</v>
      </c>
    </row>
    <row r="118" spans="1:36" s="109" customFormat="1" ht="18.75" customHeight="1" x14ac:dyDescent="0.15">
      <c r="A118" s="97"/>
      <c r="B118" s="98"/>
      <c r="C118" s="182"/>
      <c r="D118" s="183"/>
      <c r="E118" s="101"/>
      <c r="F118" s="102"/>
      <c r="G118" s="101"/>
      <c r="H118" s="177" t="s">
        <v>107</v>
      </c>
      <c r="I118" s="134" t="s">
        <v>184</v>
      </c>
      <c r="J118" s="135" t="s">
        <v>142</v>
      </c>
      <c r="K118" s="135"/>
      <c r="L118" s="138" t="s">
        <v>184</v>
      </c>
      <c r="M118" s="135" t="s">
        <v>143</v>
      </c>
      <c r="N118" s="135"/>
      <c r="O118" s="138" t="s">
        <v>184</v>
      </c>
      <c r="P118" s="135" t="s">
        <v>144</v>
      </c>
      <c r="Q118" s="140"/>
      <c r="R118" s="135"/>
      <c r="S118" s="135"/>
      <c r="T118" s="135"/>
      <c r="U118" s="135"/>
      <c r="V118" s="135"/>
      <c r="W118" s="135"/>
      <c r="X118" s="143"/>
      <c r="Y118" s="133"/>
      <c r="Z118" s="95"/>
      <c r="AA118" s="95"/>
      <c r="AB118" s="96"/>
      <c r="AC118" s="357"/>
      <c r="AD118" s="358"/>
      <c r="AE118" s="358"/>
      <c r="AF118" s="359"/>
      <c r="AI118" s="109" t="str">
        <f>"55:field164:" &amp; IF(I118="■",1,IF(L118="■",2,IF(O118="■",3,0)))</f>
        <v>55:field164:0</v>
      </c>
    </row>
    <row r="119" spans="1:36" s="109" customFormat="1" ht="18.75" customHeight="1" x14ac:dyDescent="0.15">
      <c r="A119" s="97"/>
      <c r="B119" s="98"/>
      <c r="C119" s="182"/>
      <c r="D119" s="183"/>
      <c r="E119" s="101"/>
      <c r="F119" s="102"/>
      <c r="G119" s="101"/>
      <c r="H119" s="176" t="s">
        <v>122</v>
      </c>
      <c r="I119" s="129" t="s">
        <v>184</v>
      </c>
      <c r="J119" s="105" t="s">
        <v>142</v>
      </c>
      <c r="K119" s="150"/>
      <c r="L119" s="163" t="s">
        <v>184</v>
      </c>
      <c r="M119" s="105" t="s">
        <v>150</v>
      </c>
      <c r="N119" s="136"/>
      <c r="O119" s="136"/>
      <c r="P119" s="136"/>
      <c r="Q119" s="136"/>
      <c r="R119" s="136"/>
      <c r="S119" s="136"/>
      <c r="T119" s="136"/>
      <c r="U119" s="136"/>
      <c r="V119" s="136"/>
      <c r="W119" s="136"/>
      <c r="X119" s="144"/>
      <c r="Y119" s="133"/>
      <c r="Z119" s="95"/>
      <c r="AA119" s="95"/>
      <c r="AB119" s="96"/>
      <c r="AC119" s="357"/>
      <c r="AD119" s="358"/>
      <c r="AE119" s="358"/>
      <c r="AF119" s="359"/>
      <c r="AI119" s="109" t="str">
        <f>"55:field210:" &amp; IF(I119="■",1,IF(L119="■",2,0))</f>
        <v>55:field210:0</v>
      </c>
    </row>
    <row r="120" spans="1:36" s="109" customFormat="1" ht="18.75" customHeight="1" x14ac:dyDescent="0.15">
      <c r="A120" s="97"/>
      <c r="B120" s="98"/>
      <c r="C120" s="182"/>
      <c r="D120" s="183"/>
      <c r="E120" s="101"/>
      <c r="F120" s="102"/>
      <c r="G120" s="101"/>
      <c r="H120" s="177" t="s">
        <v>131</v>
      </c>
      <c r="I120" s="129" t="s">
        <v>184</v>
      </c>
      <c r="J120" s="105" t="s">
        <v>142</v>
      </c>
      <c r="K120" s="150"/>
      <c r="L120" s="163" t="s">
        <v>184</v>
      </c>
      <c r="M120" s="105" t="s">
        <v>150</v>
      </c>
      <c r="N120" s="136"/>
      <c r="O120" s="136"/>
      <c r="P120" s="136"/>
      <c r="Q120" s="136"/>
      <c r="R120" s="136"/>
      <c r="S120" s="136"/>
      <c r="T120" s="136"/>
      <c r="U120" s="136"/>
      <c r="V120" s="136"/>
      <c r="W120" s="136"/>
      <c r="X120" s="144"/>
      <c r="Y120" s="133"/>
      <c r="Z120" s="95"/>
      <c r="AA120" s="95"/>
      <c r="AB120" s="96"/>
      <c r="AC120" s="357"/>
      <c r="AD120" s="358"/>
      <c r="AE120" s="358"/>
      <c r="AF120" s="359"/>
      <c r="AI120" s="109" t="str">
        <f>"55:field211:" &amp; IF(I120="■",1,IF(L120="■",2,0))</f>
        <v>55:field211:0</v>
      </c>
    </row>
    <row r="121" spans="1:36" s="109" customFormat="1" ht="18.75" customHeight="1" x14ac:dyDescent="0.15">
      <c r="A121" s="97"/>
      <c r="B121" s="98"/>
      <c r="C121" s="182"/>
      <c r="D121" s="183"/>
      <c r="E121" s="101"/>
      <c r="F121" s="102"/>
      <c r="G121" s="101"/>
      <c r="H121" s="177" t="s">
        <v>121</v>
      </c>
      <c r="I121" s="129" t="s">
        <v>184</v>
      </c>
      <c r="J121" s="105" t="s">
        <v>142</v>
      </c>
      <c r="K121" s="150"/>
      <c r="L121" s="163" t="s">
        <v>184</v>
      </c>
      <c r="M121" s="105" t="s">
        <v>150</v>
      </c>
      <c r="N121" s="136"/>
      <c r="O121" s="136"/>
      <c r="P121" s="136"/>
      <c r="Q121" s="136"/>
      <c r="R121" s="136"/>
      <c r="S121" s="136"/>
      <c r="T121" s="136"/>
      <c r="U121" s="136"/>
      <c r="V121" s="136"/>
      <c r="W121" s="136"/>
      <c r="X121" s="144"/>
      <c r="Y121" s="133"/>
      <c r="Z121" s="95"/>
      <c r="AA121" s="95"/>
      <c r="AB121" s="96"/>
      <c r="AC121" s="357"/>
      <c r="AD121" s="358"/>
      <c r="AE121" s="358"/>
      <c r="AF121" s="359"/>
      <c r="AI121" s="109" t="str">
        <f>"55:field212:" &amp; IF(I121="■",1,IF(L121="■",2,0))</f>
        <v>55:field212:0</v>
      </c>
    </row>
    <row r="122" spans="1:36" s="109" customFormat="1" ht="18.75" customHeight="1" x14ac:dyDescent="0.15">
      <c r="A122" s="97"/>
      <c r="B122" s="98"/>
      <c r="C122" s="182"/>
      <c r="D122" s="183"/>
      <c r="E122" s="101"/>
      <c r="F122" s="102"/>
      <c r="G122" s="101"/>
      <c r="H122" s="177" t="s">
        <v>127</v>
      </c>
      <c r="I122" s="129" t="s">
        <v>184</v>
      </c>
      <c r="J122" s="105" t="s">
        <v>142</v>
      </c>
      <c r="K122" s="150"/>
      <c r="L122" s="163" t="s">
        <v>184</v>
      </c>
      <c r="M122" s="105" t="s">
        <v>150</v>
      </c>
      <c r="N122" s="136"/>
      <c r="O122" s="136"/>
      <c r="P122" s="136"/>
      <c r="Q122" s="136"/>
      <c r="R122" s="136"/>
      <c r="S122" s="136"/>
      <c r="T122" s="136"/>
      <c r="U122" s="136"/>
      <c r="V122" s="136"/>
      <c r="W122" s="136"/>
      <c r="X122" s="144"/>
      <c r="Y122" s="133"/>
      <c r="Z122" s="95"/>
      <c r="AA122" s="95"/>
      <c r="AB122" s="96"/>
      <c r="AC122" s="357"/>
      <c r="AD122" s="358"/>
      <c r="AE122" s="358"/>
      <c r="AF122" s="359"/>
      <c r="AI122" s="109" t="str">
        <f>"55:field209:" &amp; IF(I122="■",1,IF(L122="■",2,0))</f>
        <v>55:field209:0</v>
      </c>
    </row>
    <row r="123" spans="1:36" s="109" customFormat="1" ht="18.75" customHeight="1" x14ac:dyDescent="0.15">
      <c r="A123" s="97"/>
      <c r="B123" s="98"/>
      <c r="C123" s="182"/>
      <c r="D123" s="183"/>
      <c r="E123" s="101"/>
      <c r="F123" s="102"/>
      <c r="G123" s="101"/>
      <c r="H123" s="177" t="s">
        <v>206</v>
      </c>
      <c r="I123" s="134" t="s">
        <v>184</v>
      </c>
      <c r="J123" s="135" t="s">
        <v>142</v>
      </c>
      <c r="K123" s="135"/>
      <c r="L123" s="138" t="s">
        <v>184</v>
      </c>
      <c r="M123" s="105" t="s">
        <v>150</v>
      </c>
      <c r="N123" s="135"/>
      <c r="O123" s="135"/>
      <c r="P123" s="135"/>
      <c r="Q123" s="136"/>
      <c r="R123" s="136"/>
      <c r="S123" s="136"/>
      <c r="T123" s="136"/>
      <c r="U123" s="136"/>
      <c r="V123" s="136"/>
      <c r="W123" s="136"/>
      <c r="X123" s="144"/>
      <c r="Y123" s="133"/>
      <c r="Z123" s="95"/>
      <c r="AA123" s="95"/>
      <c r="AB123" s="96"/>
      <c r="AC123" s="357"/>
      <c r="AD123" s="358"/>
      <c r="AE123" s="358"/>
      <c r="AF123" s="359"/>
      <c r="AI123" s="109" t="str">
        <f>"55:field226:" &amp; IF(I123="■",1,IF(L123="■",2,0))</f>
        <v>55:field226:0</v>
      </c>
    </row>
    <row r="124" spans="1:36" s="109" customFormat="1" ht="18.75" customHeight="1" x14ac:dyDescent="0.15">
      <c r="A124" s="97"/>
      <c r="B124" s="98"/>
      <c r="C124" s="182"/>
      <c r="D124" s="183"/>
      <c r="E124" s="101"/>
      <c r="F124" s="102"/>
      <c r="G124" s="101"/>
      <c r="H124" s="177" t="s">
        <v>207</v>
      </c>
      <c r="I124" s="134" t="s">
        <v>184</v>
      </c>
      <c r="J124" s="135" t="s">
        <v>142</v>
      </c>
      <c r="K124" s="135"/>
      <c r="L124" s="138" t="s">
        <v>184</v>
      </c>
      <c r="M124" s="105" t="s">
        <v>150</v>
      </c>
      <c r="N124" s="135"/>
      <c r="O124" s="135"/>
      <c r="P124" s="135"/>
      <c r="Q124" s="136"/>
      <c r="R124" s="136"/>
      <c r="S124" s="136"/>
      <c r="T124" s="136"/>
      <c r="U124" s="136"/>
      <c r="V124" s="136"/>
      <c r="W124" s="136"/>
      <c r="X124" s="144"/>
      <c r="Y124" s="133"/>
      <c r="Z124" s="95"/>
      <c r="AA124" s="95"/>
      <c r="AB124" s="96"/>
      <c r="AC124" s="357"/>
      <c r="AD124" s="358"/>
      <c r="AE124" s="358"/>
      <c r="AF124" s="359"/>
      <c r="AI124" s="109" t="str">
        <f>"55:field227:" &amp; IF(I124="■",1,IF(L124="■",2,0))</f>
        <v>55:field227:0</v>
      </c>
    </row>
    <row r="125" spans="1:36" s="109" customFormat="1" ht="18.75" customHeight="1" x14ac:dyDescent="0.15">
      <c r="A125" s="97"/>
      <c r="B125" s="98"/>
      <c r="C125" s="182"/>
      <c r="D125" s="183"/>
      <c r="E125" s="101"/>
      <c r="F125" s="102"/>
      <c r="G125" s="101"/>
      <c r="H125" s="184" t="s">
        <v>199</v>
      </c>
      <c r="I125" s="134" t="s">
        <v>184</v>
      </c>
      <c r="J125" s="135" t="s">
        <v>142</v>
      </c>
      <c r="K125" s="135"/>
      <c r="L125" s="138" t="s">
        <v>184</v>
      </c>
      <c r="M125" s="135" t="s">
        <v>143</v>
      </c>
      <c r="N125" s="135"/>
      <c r="O125" s="138" t="s">
        <v>184</v>
      </c>
      <c r="P125" s="135" t="s">
        <v>144</v>
      </c>
      <c r="Q125" s="140"/>
      <c r="R125" s="140"/>
      <c r="S125" s="140"/>
      <c r="T125" s="140"/>
      <c r="U125" s="185"/>
      <c r="V125" s="185"/>
      <c r="W125" s="185"/>
      <c r="X125" s="186"/>
      <c r="Y125" s="133"/>
      <c r="Z125" s="95"/>
      <c r="AA125" s="95"/>
      <c r="AB125" s="96"/>
      <c r="AC125" s="357"/>
      <c r="AD125" s="358"/>
      <c r="AE125" s="358"/>
      <c r="AF125" s="359"/>
      <c r="AI125" s="109" t="str">
        <f>"55:field225:" &amp; IF(I125="■",1,IF(L125="■",2,IF(O125="■",3,0)))</f>
        <v>55:field225:0</v>
      </c>
    </row>
    <row r="126" spans="1:36" s="109" customFormat="1" ht="18.75" customHeight="1" x14ac:dyDescent="0.15">
      <c r="A126" s="97"/>
      <c r="B126" s="98"/>
      <c r="C126" s="182"/>
      <c r="D126" s="183"/>
      <c r="E126" s="101"/>
      <c r="F126" s="102"/>
      <c r="G126" s="101"/>
      <c r="H126" s="177" t="s">
        <v>96</v>
      </c>
      <c r="I126" s="134" t="s">
        <v>184</v>
      </c>
      <c r="J126" s="135" t="s">
        <v>142</v>
      </c>
      <c r="K126" s="135"/>
      <c r="L126" s="138" t="s">
        <v>184</v>
      </c>
      <c r="M126" s="135" t="s">
        <v>146</v>
      </c>
      <c r="N126" s="135"/>
      <c r="O126" s="138" t="s">
        <v>184</v>
      </c>
      <c r="P126" s="135" t="s">
        <v>147</v>
      </c>
      <c r="Q126" s="166"/>
      <c r="R126" s="138" t="s">
        <v>184</v>
      </c>
      <c r="S126" s="135" t="s">
        <v>151</v>
      </c>
      <c r="T126" s="135"/>
      <c r="U126" s="135"/>
      <c r="V126" s="135"/>
      <c r="W126" s="135"/>
      <c r="X126" s="143"/>
      <c r="Y126" s="133"/>
      <c r="Z126" s="95"/>
      <c r="AA126" s="95"/>
      <c r="AB126" s="96"/>
      <c r="AC126" s="357"/>
      <c r="AD126" s="358"/>
      <c r="AE126" s="358"/>
      <c r="AF126" s="359"/>
      <c r="AI126" s="109" t="str">
        <f>"55:serteikyo_kyoka_code:" &amp; IF(I126="■",1,IF(L126="■",6,IF(O126="■",5,IF(R126="■",7,0))))</f>
        <v>55:serteikyo_kyoka_code:0</v>
      </c>
    </row>
    <row r="127" spans="1:36" s="109" customFormat="1" ht="18.75" customHeight="1" x14ac:dyDescent="0.15">
      <c r="A127" s="152"/>
      <c r="B127" s="153"/>
      <c r="C127" s="154"/>
      <c r="D127" s="155"/>
      <c r="E127" s="156"/>
      <c r="F127" s="157"/>
      <c r="G127" s="158"/>
      <c r="H127" s="85" t="s">
        <v>208</v>
      </c>
      <c r="I127" s="159" t="s">
        <v>184</v>
      </c>
      <c r="J127" s="86" t="s">
        <v>142</v>
      </c>
      <c r="K127" s="86"/>
      <c r="L127" s="160" t="s">
        <v>184</v>
      </c>
      <c r="M127" s="86" t="s">
        <v>195</v>
      </c>
      <c r="N127" s="87"/>
      <c r="O127" s="160" t="s">
        <v>184</v>
      </c>
      <c r="P127" s="89" t="s">
        <v>196</v>
      </c>
      <c r="Q127" s="88"/>
      <c r="R127" s="160" t="s">
        <v>184</v>
      </c>
      <c r="S127" s="86" t="s">
        <v>197</v>
      </c>
      <c r="T127" s="88"/>
      <c r="U127" s="160" t="s">
        <v>184</v>
      </c>
      <c r="V127" s="86" t="s">
        <v>198</v>
      </c>
      <c r="W127" s="90"/>
      <c r="X127" s="91"/>
      <c r="Y127" s="161"/>
      <c r="Z127" s="161"/>
      <c r="AA127" s="161"/>
      <c r="AB127" s="162"/>
      <c r="AC127" s="363"/>
      <c r="AD127" s="364"/>
      <c r="AE127" s="364"/>
      <c r="AF127" s="365"/>
      <c r="AI127" s="109" t="str">
        <f>"55:shoguukaizen_code:"&amp;IF(I127="■",1,IF(L127="■",7,IF(O127="■",8,IF(R127="■",9,IF(U127="■","A",0)))))</f>
        <v>55:shoguukaizen_code:0</v>
      </c>
    </row>
    <row r="128" spans="1:36" s="109" customFormat="1" ht="18.75" customHeight="1" x14ac:dyDescent="0.15">
      <c r="A128" s="119"/>
      <c r="B128" s="120"/>
      <c r="C128" s="189"/>
      <c r="D128" s="190"/>
      <c r="E128" s="116"/>
      <c r="F128" s="123"/>
      <c r="G128" s="116"/>
      <c r="H128" s="352" t="s">
        <v>89</v>
      </c>
      <c r="I128" s="128" t="s">
        <v>184</v>
      </c>
      <c r="J128" s="114" t="s">
        <v>153</v>
      </c>
      <c r="K128" s="126"/>
      <c r="L128" s="179"/>
      <c r="M128" s="125" t="s">
        <v>184</v>
      </c>
      <c r="N128" s="114" t="s">
        <v>157</v>
      </c>
      <c r="O128" s="179"/>
      <c r="P128" s="179"/>
      <c r="Q128" s="125" t="s">
        <v>184</v>
      </c>
      <c r="R128" s="114" t="s">
        <v>158</v>
      </c>
      <c r="S128" s="179"/>
      <c r="T128" s="179"/>
      <c r="U128" s="125" t="s">
        <v>184</v>
      </c>
      <c r="V128" s="114" t="s">
        <v>159</v>
      </c>
      <c r="W128" s="179"/>
      <c r="X128" s="172"/>
      <c r="Y128" s="128" t="s">
        <v>184</v>
      </c>
      <c r="Z128" s="114" t="s">
        <v>141</v>
      </c>
      <c r="AA128" s="114"/>
      <c r="AB128" s="127"/>
      <c r="AC128" s="354"/>
      <c r="AD128" s="355"/>
      <c r="AE128" s="355"/>
      <c r="AF128" s="356"/>
      <c r="AG128" s="109" t="str">
        <f>"ser_code = '" &amp; IF(A145="■",55,"") &amp; "'"</f>
        <v>ser_code = ''</v>
      </c>
      <c r="AI128" s="109" t="str">
        <f>"55:yakan_kinmu_code:" &amp; IF(I128="■",1,IF(M128="■",2,IF(Q128="■",3,IF(U128="■",7,IF(I129="■",5,IF(M129="■",6,0))))))</f>
        <v>55:yakan_kinmu_code:0</v>
      </c>
      <c r="AJ128" s="109" t="str">
        <f>"55:field203:" &amp; IF(Y128="■",1,IF(Y129="■",2,0))</f>
        <v>55:field203:0</v>
      </c>
    </row>
    <row r="129" spans="1:35" s="109" customFormat="1" ht="18.75" customHeight="1" x14ac:dyDescent="0.15">
      <c r="A129" s="97"/>
      <c r="B129" s="98"/>
      <c r="C129" s="182"/>
      <c r="D129" s="183"/>
      <c r="E129" s="101"/>
      <c r="F129" s="102"/>
      <c r="G129" s="101"/>
      <c r="H129" s="362"/>
      <c r="I129" s="129" t="s">
        <v>184</v>
      </c>
      <c r="J129" s="105" t="s">
        <v>160</v>
      </c>
      <c r="K129" s="150"/>
      <c r="L129" s="130"/>
      <c r="M129" s="163" t="s">
        <v>184</v>
      </c>
      <c r="N129" s="105" t="s">
        <v>154</v>
      </c>
      <c r="O129" s="130"/>
      <c r="P129" s="130"/>
      <c r="Q129" s="130"/>
      <c r="R129" s="130"/>
      <c r="S129" s="130"/>
      <c r="T129" s="130"/>
      <c r="U129" s="130"/>
      <c r="V129" s="130"/>
      <c r="W129" s="130"/>
      <c r="X129" s="175"/>
      <c r="Y129" s="117" t="s">
        <v>184</v>
      </c>
      <c r="Z129" s="94" t="s">
        <v>145</v>
      </c>
      <c r="AA129" s="95"/>
      <c r="AB129" s="96"/>
      <c r="AC129" s="357"/>
      <c r="AD129" s="358"/>
      <c r="AE129" s="358"/>
      <c r="AF129" s="359"/>
      <c r="AG129" s="109" t="str">
        <f>"55:sisetukbn_code:" &amp; IF(D145="■",5,0)</f>
        <v>55:sisetukbn_code:0</v>
      </c>
    </row>
    <row r="130" spans="1:35" s="109" customFormat="1" ht="18.75" customHeight="1" x14ac:dyDescent="0.15">
      <c r="A130" s="97"/>
      <c r="B130" s="98"/>
      <c r="C130" s="182"/>
      <c r="D130" s="183"/>
      <c r="E130" s="101"/>
      <c r="F130" s="102"/>
      <c r="G130" s="101"/>
      <c r="H130" s="366" t="s">
        <v>87</v>
      </c>
      <c r="I130" s="164" t="s">
        <v>184</v>
      </c>
      <c r="J130" s="146" t="s">
        <v>142</v>
      </c>
      <c r="K130" s="146"/>
      <c r="L130" s="168"/>
      <c r="M130" s="165" t="s">
        <v>184</v>
      </c>
      <c r="N130" s="146" t="s">
        <v>152</v>
      </c>
      <c r="O130" s="146"/>
      <c r="P130" s="168"/>
      <c r="Q130" s="165" t="s">
        <v>184</v>
      </c>
      <c r="R130" s="168" t="s">
        <v>173</v>
      </c>
      <c r="S130" s="168"/>
      <c r="T130" s="168"/>
      <c r="U130" s="165" t="s">
        <v>184</v>
      </c>
      <c r="V130" s="168" t="s">
        <v>174</v>
      </c>
      <c r="W130" s="185"/>
      <c r="X130" s="186"/>
      <c r="Y130" s="133"/>
      <c r="Z130" s="95"/>
      <c r="AA130" s="95"/>
      <c r="AB130" s="96"/>
      <c r="AC130" s="357"/>
      <c r="AD130" s="358"/>
      <c r="AE130" s="358"/>
      <c r="AF130" s="359"/>
      <c r="AI130" s="109" t="str">
        <f>"55:"&amp;IF(AND(I130="□",M130="□",Q130="□",U130="□",I131="□",M131="□"),"ketu_doctor_code:0",IF(I130="■","ketu_doctor_code:1:field197:1:ketu_kangos_code:1:ketu_kshoku_code:1:ketu_ksiensou_code:1",IF(M130="■","ketu_doctor_code:2","ketu_doctor_code:1")
&amp;IF(Q130="■",":field197:2",":field197:1")
&amp;IF(U130="■",":ketu_kangos_code:2",":ketu_kangos_code:1")
&amp;IF(I131="■",":ketu_kshoku_code:2",":ketu_kshoku_code:1")
&amp;IF(M131="■",":ketu_ksiensou_code:2",":ketu_ksiensou_code:1")))</f>
        <v>55:ketu_doctor_code:0</v>
      </c>
    </row>
    <row r="131" spans="1:35" s="109" customFormat="1" ht="18.75" customHeight="1" x14ac:dyDescent="0.15">
      <c r="A131" s="97"/>
      <c r="B131" s="98"/>
      <c r="C131" s="182"/>
      <c r="D131" s="183"/>
      <c r="E131" s="101"/>
      <c r="F131" s="102"/>
      <c r="G131" s="101"/>
      <c r="H131" s="362"/>
      <c r="I131" s="129" t="s">
        <v>184</v>
      </c>
      <c r="J131" s="130" t="s">
        <v>175</v>
      </c>
      <c r="K131" s="105"/>
      <c r="L131" s="130"/>
      <c r="M131" s="163" t="s">
        <v>184</v>
      </c>
      <c r="N131" s="105" t="s">
        <v>189</v>
      </c>
      <c r="O131" s="105"/>
      <c r="P131" s="130"/>
      <c r="Q131" s="130"/>
      <c r="R131" s="130"/>
      <c r="S131" s="130"/>
      <c r="T131" s="130"/>
      <c r="U131" s="130"/>
      <c r="V131" s="130"/>
      <c r="W131" s="131"/>
      <c r="X131" s="132"/>
      <c r="Y131" s="133"/>
      <c r="Z131" s="95"/>
      <c r="AA131" s="95"/>
      <c r="AB131" s="96"/>
      <c r="AC131" s="357"/>
      <c r="AD131" s="358"/>
      <c r="AE131" s="358"/>
      <c r="AF131" s="359"/>
    </row>
    <row r="132" spans="1:35" s="109" customFormat="1" ht="18.75" customHeight="1" x14ac:dyDescent="0.15">
      <c r="A132" s="97"/>
      <c r="B132" s="98"/>
      <c r="C132" s="182"/>
      <c r="D132" s="183"/>
      <c r="E132" s="101"/>
      <c r="F132" s="102"/>
      <c r="G132" s="101"/>
      <c r="H132" s="177" t="s">
        <v>90</v>
      </c>
      <c r="I132" s="134" t="s">
        <v>184</v>
      </c>
      <c r="J132" s="135" t="s">
        <v>148</v>
      </c>
      <c r="K132" s="136"/>
      <c r="L132" s="137"/>
      <c r="M132" s="138" t="s">
        <v>184</v>
      </c>
      <c r="N132" s="135" t="s">
        <v>149</v>
      </c>
      <c r="O132" s="136"/>
      <c r="P132" s="136"/>
      <c r="Q132" s="166"/>
      <c r="R132" s="166"/>
      <c r="S132" s="166"/>
      <c r="T132" s="166"/>
      <c r="U132" s="166"/>
      <c r="V132" s="166"/>
      <c r="W132" s="166"/>
      <c r="X132" s="167"/>
      <c r="Y132" s="133"/>
      <c r="Z132" s="95"/>
      <c r="AA132" s="95"/>
      <c r="AB132" s="96"/>
      <c r="AC132" s="357"/>
      <c r="AD132" s="358"/>
      <c r="AE132" s="358"/>
      <c r="AF132" s="359"/>
      <c r="AI132" s="109" t="str">
        <f>"55:unitcare_code:" &amp; IF(I132="■",1,IF(M132="■",2,0))</f>
        <v>55:unitcare_code:0</v>
      </c>
    </row>
    <row r="133" spans="1:35" s="109" customFormat="1" ht="18.75" customHeight="1" x14ac:dyDescent="0.15">
      <c r="A133" s="97"/>
      <c r="B133" s="98"/>
      <c r="C133" s="182"/>
      <c r="D133" s="183"/>
      <c r="E133" s="101"/>
      <c r="F133" s="102"/>
      <c r="G133" s="101"/>
      <c r="H133" s="177" t="s">
        <v>92</v>
      </c>
      <c r="I133" s="134" t="s">
        <v>184</v>
      </c>
      <c r="J133" s="135" t="s">
        <v>185</v>
      </c>
      <c r="K133" s="136"/>
      <c r="L133" s="137"/>
      <c r="M133" s="138" t="s">
        <v>184</v>
      </c>
      <c r="N133" s="135" t="s">
        <v>186</v>
      </c>
      <c r="O133" s="140"/>
      <c r="P133" s="136"/>
      <c r="Q133" s="166"/>
      <c r="R133" s="166"/>
      <c r="S133" s="166"/>
      <c r="T133" s="166"/>
      <c r="U133" s="166"/>
      <c r="V133" s="166"/>
      <c r="W133" s="166"/>
      <c r="X133" s="167"/>
      <c r="Y133" s="133"/>
      <c r="Z133" s="95"/>
      <c r="AA133" s="95"/>
      <c r="AB133" s="96"/>
      <c r="AC133" s="357"/>
      <c r="AD133" s="358"/>
      <c r="AE133" s="358"/>
      <c r="AF133" s="359"/>
      <c r="AI133" s="109" t="str">
        <f>"55:sintaikousoku_code:" &amp; IF(I133="■",1,IF(M133="■",2,0))</f>
        <v>55:sintaikousoku_code:0</v>
      </c>
    </row>
    <row r="134" spans="1:35" s="109" customFormat="1" ht="18.75" customHeight="1" x14ac:dyDescent="0.15">
      <c r="A134" s="97"/>
      <c r="B134" s="98"/>
      <c r="C134" s="182"/>
      <c r="D134" s="183"/>
      <c r="E134" s="101"/>
      <c r="F134" s="102"/>
      <c r="G134" s="101"/>
      <c r="H134" s="177" t="s">
        <v>124</v>
      </c>
      <c r="I134" s="134" t="s">
        <v>184</v>
      </c>
      <c r="J134" s="135" t="s">
        <v>185</v>
      </c>
      <c r="K134" s="136"/>
      <c r="L134" s="137"/>
      <c r="M134" s="138" t="s">
        <v>184</v>
      </c>
      <c r="N134" s="135" t="s">
        <v>186</v>
      </c>
      <c r="O134" s="140"/>
      <c r="P134" s="136"/>
      <c r="Q134" s="140"/>
      <c r="R134" s="140"/>
      <c r="S134" s="140"/>
      <c r="T134" s="140"/>
      <c r="U134" s="140"/>
      <c r="V134" s="140"/>
      <c r="W134" s="140"/>
      <c r="X134" s="141"/>
      <c r="Y134" s="133"/>
      <c r="Z134" s="95"/>
      <c r="AA134" s="95"/>
      <c r="AB134" s="96"/>
      <c r="AC134" s="357"/>
      <c r="AD134" s="358"/>
      <c r="AE134" s="358"/>
      <c r="AF134" s="359"/>
      <c r="AI134" s="109" t="str">
        <f>"55:field208:" &amp; IF(I134="■",1,IF(M134="■",2,0))</f>
        <v>55:field208:0</v>
      </c>
    </row>
    <row r="135" spans="1:35" s="109" customFormat="1" ht="19.5" customHeight="1" x14ac:dyDescent="0.15">
      <c r="A135" s="97"/>
      <c r="B135" s="98"/>
      <c r="C135" s="99"/>
      <c r="D135" s="100"/>
      <c r="E135" s="101"/>
      <c r="F135" s="102"/>
      <c r="G135" s="103"/>
      <c r="H135" s="104" t="s">
        <v>192</v>
      </c>
      <c r="I135" s="134" t="s">
        <v>184</v>
      </c>
      <c r="J135" s="135" t="s">
        <v>185</v>
      </c>
      <c r="K135" s="136"/>
      <c r="L135" s="137"/>
      <c r="M135" s="138" t="s">
        <v>184</v>
      </c>
      <c r="N135" s="135" t="s">
        <v>193</v>
      </c>
      <c r="O135" s="139"/>
      <c r="P135" s="135"/>
      <c r="Q135" s="140"/>
      <c r="R135" s="140"/>
      <c r="S135" s="140"/>
      <c r="T135" s="140"/>
      <c r="U135" s="140"/>
      <c r="V135" s="140"/>
      <c r="W135" s="140"/>
      <c r="X135" s="141"/>
      <c r="Y135" s="95"/>
      <c r="Z135" s="95"/>
      <c r="AA135" s="95"/>
      <c r="AB135" s="96"/>
      <c r="AC135" s="357"/>
      <c r="AD135" s="358"/>
      <c r="AE135" s="358"/>
      <c r="AF135" s="359"/>
      <c r="AI135" s="109" t="str">
        <f>"55:field223:" &amp; IF(I135="■",1,IF(M135="■",2,0))</f>
        <v>55:field223:0</v>
      </c>
    </row>
    <row r="136" spans="1:35" s="109" customFormat="1" ht="19.5" customHeight="1" x14ac:dyDescent="0.15">
      <c r="A136" s="97"/>
      <c r="B136" s="98"/>
      <c r="C136" s="99"/>
      <c r="D136" s="100"/>
      <c r="E136" s="101"/>
      <c r="F136" s="102"/>
      <c r="G136" s="103"/>
      <c r="H136" s="104" t="s">
        <v>201</v>
      </c>
      <c r="I136" s="134" t="s">
        <v>184</v>
      </c>
      <c r="J136" s="135" t="s">
        <v>185</v>
      </c>
      <c r="K136" s="136"/>
      <c r="L136" s="137"/>
      <c r="M136" s="138" t="s">
        <v>184</v>
      </c>
      <c r="N136" s="135" t="s">
        <v>193</v>
      </c>
      <c r="O136" s="139"/>
      <c r="P136" s="135"/>
      <c r="Q136" s="140"/>
      <c r="R136" s="140"/>
      <c r="S136" s="140"/>
      <c r="T136" s="140"/>
      <c r="U136" s="140"/>
      <c r="V136" s="140"/>
      <c r="W136" s="140"/>
      <c r="X136" s="141"/>
      <c r="Y136" s="95"/>
      <c r="Z136" s="95"/>
      <c r="AA136" s="95"/>
      <c r="AB136" s="96"/>
      <c r="AC136" s="357"/>
      <c r="AD136" s="358"/>
      <c r="AE136" s="358"/>
      <c r="AF136" s="359"/>
      <c r="AI136" s="109" t="str">
        <f>"55:field232:" &amp; IF(I136="■",1,IF(M136="■",2,0))</f>
        <v>55:field232:0</v>
      </c>
    </row>
    <row r="137" spans="1:35" s="109" customFormat="1" ht="18.75" customHeight="1" x14ac:dyDescent="0.15">
      <c r="A137" s="97"/>
      <c r="B137" s="98"/>
      <c r="C137" s="182"/>
      <c r="D137" s="183"/>
      <c r="E137" s="101"/>
      <c r="F137" s="102"/>
      <c r="G137" s="101"/>
      <c r="H137" s="367" t="s">
        <v>125</v>
      </c>
      <c r="I137" s="369" t="s">
        <v>184</v>
      </c>
      <c r="J137" s="360" t="s">
        <v>142</v>
      </c>
      <c r="K137" s="360"/>
      <c r="L137" s="371" t="s">
        <v>184</v>
      </c>
      <c r="M137" s="360" t="s">
        <v>150</v>
      </c>
      <c r="N137" s="360"/>
      <c r="O137" s="168"/>
      <c r="P137" s="168"/>
      <c r="Q137" s="168"/>
      <c r="R137" s="168"/>
      <c r="S137" s="168"/>
      <c r="T137" s="168"/>
      <c r="U137" s="168"/>
      <c r="V137" s="168"/>
      <c r="W137" s="168"/>
      <c r="X137" s="169"/>
      <c r="Y137" s="133"/>
      <c r="Z137" s="95"/>
      <c r="AA137" s="95"/>
      <c r="AB137" s="96"/>
      <c r="AC137" s="357"/>
      <c r="AD137" s="358"/>
      <c r="AE137" s="358"/>
      <c r="AF137" s="359"/>
      <c r="AI137" s="109" t="str">
        <f>"55:field206:" &amp; IF(I137="■",1,IF(L137="■",2,0))</f>
        <v>55:field206:0</v>
      </c>
    </row>
    <row r="138" spans="1:35" s="109" customFormat="1" ht="18.75" customHeight="1" x14ac:dyDescent="0.15">
      <c r="A138" s="97"/>
      <c r="B138" s="98"/>
      <c r="C138" s="182"/>
      <c r="D138" s="183"/>
      <c r="E138" s="101"/>
      <c r="F138" s="102"/>
      <c r="G138" s="101"/>
      <c r="H138" s="368"/>
      <c r="I138" s="370"/>
      <c r="J138" s="361"/>
      <c r="K138" s="361"/>
      <c r="L138" s="372"/>
      <c r="M138" s="361"/>
      <c r="N138" s="361"/>
      <c r="O138" s="130"/>
      <c r="P138" s="130"/>
      <c r="Q138" s="130"/>
      <c r="R138" s="130"/>
      <c r="S138" s="130"/>
      <c r="T138" s="130"/>
      <c r="U138" s="130"/>
      <c r="V138" s="130"/>
      <c r="W138" s="130"/>
      <c r="X138" s="175"/>
      <c r="Y138" s="133"/>
      <c r="Z138" s="95"/>
      <c r="AA138" s="95"/>
      <c r="AB138" s="96"/>
      <c r="AC138" s="357"/>
      <c r="AD138" s="358"/>
      <c r="AE138" s="358"/>
      <c r="AF138" s="359"/>
    </row>
    <row r="139" spans="1:35" s="109" customFormat="1" ht="18.75" customHeight="1" x14ac:dyDescent="0.15">
      <c r="A139" s="97"/>
      <c r="B139" s="98"/>
      <c r="C139" s="182"/>
      <c r="D139" s="183"/>
      <c r="E139" s="101"/>
      <c r="F139" s="102"/>
      <c r="G139" s="101"/>
      <c r="H139" s="177" t="s">
        <v>112</v>
      </c>
      <c r="I139" s="134" t="s">
        <v>184</v>
      </c>
      <c r="J139" s="135" t="s">
        <v>187</v>
      </c>
      <c r="K139" s="136"/>
      <c r="L139" s="137"/>
      <c r="M139" s="138" t="s">
        <v>184</v>
      </c>
      <c r="N139" s="135" t="s">
        <v>161</v>
      </c>
      <c r="O139" s="140"/>
      <c r="P139" s="166"/>
      <c r="Q139" s="166"/>
      <c r="R139" s="166"/>
      <c r="S139" s="166"/>
      <c r="T139" s="166"/>
      <c r="U139" s="166"/>
      <c r="V139" s="166"/>
      <c r="W139" s="166"/>
      <c r="X139" s="167"/>
      <c r="Y139" s="133"/>
      <c r="Z139" s="95"/>
      <c r="AA139" s="95"/>
      <c r="AB139" s="96"/>
      <c r="AC139" s="357"/>
      <c r="AD139" s="358"/>
      <c r="AE139" s="358"/>
      <c r="AF139" s="359"/>
      <c r="AI139" s="109" t="str">
        <f>"55:field190:" &amp; IF(I139="■",1,IF(M139="■",2,0))</f>
        <v>55:field190:0</v>
      </c>
    </row>
    <row r="140" spans="1:35" s="109" customFormat="1" ht="18.75" customHeight="1" x14ac:dyDescent="0.15">
      <c r="A140" s="97"/>
      <c r="B140" s="98"/>
      <c r="C140" s="182"/>
      <c r="D140" s="183"/>
      <c r="E140" s="101"/>
      <c r="F140" s="102"/>
      <c r="G140" s="101"/>
      <c r="H140" s="177" t="s">
        <v>113</v>
      </c>
      <c r="I140" s="134" t="s">
        <v>184</v>
      </c>
      <c r="J140" s="135" t="s">
        <v>187</v>
      </c>
      <c r="K140" s="136"/>
      <c r="L140" s="137"/>
      <c r="M140" s="138" t="s">
        <v>184</v>
      </c>
      <c r="N140" s="135" t="s">
        <v>161</v>
      </c>
      <c r="O140" s="140"/>
      <c r="P140" s="166"/>
      <c r="Q140" s="166"/>
      <c r="R140" s="166"/>
      <c r="S140" s="166"/>
      <c r="T140" s="166"/>
      <c r="U140" s="166"/>
      <c r="V140" s="166"/>
      <c r="W140" s="166"/>
      <c r="X140" s="167"/>
      <c r="Y140" s="133"/>
      <c r="Z140" s="95"/>
      <c r="AA140" s="95"/>
      <c r="AB140" s="96"/>
      <c r="AC140" s="357"/>
      <c r="AD140" s="358"/>
      <c r="AE140" s="358"/>
      <c r="AF140" s="359"/>
      <c r="AI140" s="109" t="str">
        <f>"55:field191:" &amp; IF(I140="■",1,IF(M140="■",2,0))</f>
        <v>55:field191:0</v>
      </c>
    </row>
    <row r="141" spans="1:35" s="109" customFormat="1" ht="18.75" customHeight="1" x14ac:dyDescent="0.15">
      <c r="A141" s="97"/>
      <c r="B141" s="98"/>
      <c r="C141" s="182"/>
      <c r="D141" s="183"/>
      <c r="E141" s="101"/>
      <c r="F141" s="102"/>
      <c r="G141" s="101"/>
      <c r="H141" s="177" t="s">
        <v>98</v>
      </c>
      <c r="I141" s="129" t="s">
        <v>184</v>
      </c>
      <c r="J141" s="105" t="s">
        <v>142</v>
      </c>
      <c r="K141" s="150"/>
      <c r="L141" s="163" t="s">
        <v>184</v>
      </c>
      <c r="M141" s="105" t="s">
        <v>150</v>
      </c>
      <c r="N141" s="136"/>
      <c r="O141" s="166"/>
      <c r="P141" s="166"/>
      <c r="Q141" s="166"/>
      <c r="R141" s="166"/>
      <c r="S141" s="166"/>
      <c r="T141" s="166"/>
      <c r="U141" s="166"/>
      <c r="V141" s="166"/>
      <c r="W141" s="166"/>
      <c r="X141" s="167"/>
      <c r="Y141" s="133"/>
      <c r="Z141" s="95"/>
      <c r="AA141" s="95"/>
      <c r="AB141" s="96"/>
      <c r="AC141" s="357"/>
      <c r="AD141" s="358"/>
      <c r="AE141" s="358"/>
      <c r="AF141" s="359"/>
      <c r="AI141" s="109" t="str">
        <f>"55:jyakuninti_uke_code:" &amp; IF(I141="■",1,IF(L141="■",2,0))</f>
        <v>55:jyakuninti_uke_code:0</v>
      </c>
    </row>
    <row r="142" spans="1:35" s="109" customFormat="1" ht="18.75" customHeight="1" x14ac:dyDescent="0.15">
      <c r="A142" s="97"/>
      <c r="B142" s="98"/>
      <c r="C142" s="182"/>
      <c r="D142" s="183"/>
      <c r="E142" s="101"/>
      <c r="F142" s="102"/>
      <c r="G142" s="101"/>
      <c r="H142" s="177" t="s">
        <v>123</v>
      </c>
      <c r="I142" s="129" t="s">
        <v>184</v>
      </c>
      <c r="J142" s="105" t="s">
        <v>142</v>
      </c>
      <c r="K142" s="150"/>
      <c r="L142" s="163" t="s">
        <v>184</v>
      </c>
      <c r="M142" s="105" t="s">
        <v>150</v>
      </c>
      <c r="N142" s="136"/>
      <c r="O142" s="166"/>
      <c r="P142" s="166"/>
      <c r="Q142" s="166"/>
      <c r="R142" s="166"/>
      <c r="S142" s="166"/>
      <c r="T142" s="166"/>
      <c r="U142" s="166"/>
      <c r="V142" s="166"/>
      <c r="W142" s="166"/>
      <c r="X142" s="167"/>
      <c r="Y142" s="133"/>
      <c r="Z142" s="95"/>
      <c r="AA142" s="95"/>
      <c r="AB142" s="96"/>
      <c r="AC142" s="357"/>
      <c r="AD142" s="358"/>
      <c r="AE142" s="358"/>
      <c r="AF142" s="359"/>
      <c r="AI142" s="109" t="str">
        <f>"55:field207:" &amp; IF(I142="■",1,IF(L142="■",2,0))</f>
        <v>55:field207:0</v>
      </c>
    </row>
    <row r="143" spans="1:35" s="109" customFormat="1" ht="18.75" customHeight="1" x14ac:dyDescent="0.15">
      <c r="A143" s="97"/>
      <c r="B143" s="98"/>
      <c r="C143" s="182"/>
      <c r="D143" s="183"/>
      <c r="E143" s="101"/>
      <c r="F143" s="102"/>
      <c r="G143" s="101"/>
      <c r="H143" s="177" t="s">
        <v>94</v>
      </c>
      <c r="I143" s="129" t="s">
        <v>184</v>
      </c>
      <c r="J143" s="105" t="s">
        <v>142</v>
      </c>
      <c r="K143" s="150"/>
      <c r="L143" s="163" t="s">
        <v>184</v>
      </c>
      <c r="M143" s="105" t="s">
        <v>150</v>
      </c>
      <c r="N143" s="136"/>
      <c r="O143" s="166"/>
      <c r="P143" s="166"/>
      <c r="Q143" s="166"/>
      <c r="R143" s="166"/>
      <c r="S143" s="166"/>
      <c r="T143" s="166"/>
      <c r="U143" s="166"/>
      <c r="V143" s="166"/>
      <c r="W143" s="166"/>
      <c r="X143" s="167"/>
      <c r="Y143" s="133"/>
      <c r="Z143" s="95"/>
      <c r="AA143" s="95"/>
      <c r="AB143" s="96"/>
      <c r="AC143" s="357"/>
      <c r="AD143" s="358"/>
      <c r="AE143" s="358"/>
      <c r="AF143" s="359"/>
      <c r="AI143" s="109" t="str">
        <f>"55:ryouyoushoku_code:" &amp; IF(I143="■",1,IF(L143="■",2,0))</f>
        <v>55:ryouyoushoku_code:0</v>
      </c>
    </row>
    <row r="144" spans="1:35" s="109" customFormat="1" ht="18.75" customHeight="1" x14ac:dyDescent="0.15">
      <c r="A144" s="97"/>
      <c r="B144" s="98"/>
      <c r="C144" s="182"/>
      <c r="D144" s="183"/>
      <c r="E144" s="101"/>
      <c r="F144" s="102"/>
      <c r="G144" s="101"/>
      <c r="H144" s="366" t="s">
        <v>111</v>
      </c>
      <c r="I144" s="164" t="s">
        <v>184</v>
      </c>
      <c r="J144" s="146" t="s">
        <v>155</v>
      </c>
      <c r="K144" s="146"/>
      <c r="L144" s="185"/>
      <c r="M144" s="185"/>
      <c r="N144" s="185"/>
      <c r="O144" s="185"/>
      <c r="P144" s="165" t="s">
        <v>184</v>
      </c>
      <c r="Q144" s="146" t="s">
        <v>156</v>
      </c>
      <c r="R144" s="185"/>
      <c r="S144" s="185"/>
      <c r="T144" s="185"/>
      <c r="U144" s="185"/>
      <c r="V144" s="185"/>
      <c r="W144" s="185"/>
      <c r="X144" s="186"/>
      <c r="Y144" s="133"/>
      <c r="Z144" s="95"/>
      <c r="AA144" s="95"/>
      <c r="AB144" s="96"/>
      <c r="AC144" s="357"/>
      <c r="AD144" s="358"/>
      <c r="AE144" s="358"/>
      <c r="AF144" s="359"/>
      <c r="AI144" s="109" t="str">
        <f>"55:" &amp; IF(AND(I144="□",P144="□",I145="□"),"tokusin_jyusho_code:0:tokusin_yakuzai_code:0:shuudan_comu_code:0",IF(I144="■","tokusin_jyusho_code:2","tokusin_jyusho_code:1")
&amp;IF(P144="■",":tokusin_yakuzai_code:2",":tokusin_yakuzai_code:1")
&amp;IF(I145="■",":shuudan_comu_code:2",":shuudan_comu_code:1"))</f>
        <v>55:tokusin_jyusho_code:0:tokusin_yakuzai_code:0:shuudan_comu_code:0</v>
      </c>
    </row>
    <row r="145" spans="1:35" s="109" customFormat="1" ht="18.75" customHeight="1" x14ac:dyDescent="0.15">
      <c r="A145" s="117" t="s">
        <v>184</v>
      </c>
      <c r="B145" s="98">
        <v>55</v>
      </c>
      <c r="C145" s="182" t="s">
        <v>190</v>
      </c>
      <c r="D145" s="117" t="s">
        <v>184</v>
      </c>
      <c r="E145" s="101" t="s">
        <v>182</v>
      </c>
      <c r="F145" s="102"/>
      <c r="G145" s="101"/>
      <c r="H145" s="362"/>
      <c r="I145" s="129" t="s">
        <v>184</v>
      </c>
      <c r="J145" s="105" t="s">
        <v>162</v>
      </c>
      <c r="K145" s="131"/>
      <c r="L145" s="131"/>
      <c r="M145" s="131"/>
      <c r="N145" s="131"/>
      <c r="O145" s="131"/>
      <c r="P145" s="131"/>
      <c r="Q145" s="130"/>
      <c r="R145" s="131"/>
      <c r="S145" s="131"/>
      <c r="T145" s="131"/>
      <c r="U145" s="131"/>
      <c r="V145" s="131"/>
      <c r="W145" s="131"/>
      <c r="X145" s="132"/>
      <c r="Y145" s="133"/>
      <c r="Z145" s="95"/>
      <c r="AA145" s="95"/>
      <c r="AB145" s="96"/>
      <c r="AC145" s="357"/>
      <c r="AD145" s="358"/>
      <c r="AE145" s="358"/>
      <c r="AF145" s="359"/>
    </row>
    <row r="146" spans="1:35" s="109" customFormat="1" ht="18.75" customHeight="1" x14ac:dyDescent="0.15">
      <c r="A146" s="97"/>
      <c r="B146" s="98"/>
      <c r="C146" s="182"/>
      <c r="D146" s="183"/>
      <c r="E146" s="101"/>
      <c r="F146" s="102"/>
      <c r="G146" s="101"/>
      <c r="H146" s="366" t="s">
        <v>91</v>
      </c>
      <c r="I146" s="164" t="s">
        <v>184</v>
      </c>
      <c r="J146" s="146" t="s">
        <v>163</v>
      </c>
      <c r="K146" s="151"/>
      <c r="L146" s="171"/>
      <c r="M146" s="165" t="s">
        <v>184</v>
      </c>
      <c r="N146" s="146" t="s">
        <v>164</v>
      </c>
      <c r="O146" s="185"/>
      <c r="P146" s="185"/>
      <c r="Q146" s="165" t="s">
        <v>184</v>
      </c>
      <c r="R146" s="146" t="s">
        <v>165</v>
      </c>
      <c r="S146" s="185"/>
      <c r="T146" s="185"/>
      <c r="U146" s="185"/>
      <c r="V146" s="185"/>
      <c r="W146" s="185"/>
      <c r="X146" s="186"/>
      <c r="Y146" s="133"/>
      <c r="Z146" s="95"/>
      <c r="AA146" s="95"/>
      <c r="AB146" s="96"/>
      <c r="AC146" s="357"/>
      <c r="AD146" s="358"/>
      <c r="AE146" s="358"/>
      <c r="AF146" s="359"/>
      <c r="AI146" s="109" t="str">
        <f>"55:"&amp;IF(AND(I146="□",M146="□",Q146="□",I147="□",Q147="□"),"koriha_rryoho1_code:0:koriha_sryoho_code:0:koriha_gengo_code:0:riha_seisin_code:0:koriha_other_code:0",IF(I146="■","koriha_rryoho1_code:2","koriha_rryoho1_code:1")
&amp;IF(M146="■",":koriha_sryoho_code:2",":koriha_sryoho_code:1")
&amp;IF(Q146="■",":koriha_gengo_code:2",":koriha_gengo_code:1")
&amp;IF(I147="■",":riha_seisin_code:2",":riha_seisin_code:1")
&amp;IF(Q147="■",":koriha_other_code:2",":koriha_other_code:1"))</f>
        <v>55:koriha_rryoho1_code:0:koriha_sryoho_code:0:koriha_gengo_code:0:riha_seisin_code:0:koriha_other_code:0</v>
      </c>
    </row>
    <row r="147" spans="1:35" s="109" customFormat="1" ht="18.75" customHeight="1" x14ac:dyDescent="0.15">
      <c r="A147" s="97"/>
      <c r="B147" s="98"/>
      <c r="C147" s="182"/>
      <c r="D147" s="97"/>
      <c r="E147" s="101"/>
      <c r="F147" s="102"/>
      <c r="G147" s="101"/>
      <c r="H147" s="362"/>
      <c r="I147" s="129" t="s">
        <v>184</v>
      </c>
      <c r="J147" s="105" t="s">
        <v>166</v>
      </c>
      <c r="K147" s="131"/>
      <c r="L147" s="131"/>
      <c r="M147" s="131"/>
      <c r="N147" s="131"/>
      <c r="O147" s="131"/>
      <c r="P147" s="131"/>
      <c r="Q147" s="163" t="s">
        <v>184</v>
      </c>
      <c r="R147" s="105" t="s">
        <v>167</v>
      </c>
      <c r="S147" s="130"/>
      <c r="T147" s="131"/>
      <c r="U147" s="131"/>
      <c r="V147" s="131"/>
      <c r="W147" s="131"/>
      <c r="X147" s="132"/>
      <c r="Y147" s="133"/>
      <c r="Z147" s="95"/>
      <c r="AA147" s="95"/>
      <c r="AB147" s="96"/>
      <c r="AC147" s="357"/>
      <c r="AD147" s="358"/>
      <c r="AE147" s="358"/>
      <c r="AF147" s="359"/>
    </row>
    <row r="148" spans="1:35" s="109" customFormat="1" ht="18.75" customHeight="1" x14ac:dyDescent="0.15">
      <c r="A148" s="97"/>
      <c r="B148" s="98"/>
      <c r="C148" s="182"/>
      <c r="D148" s="183"/>
      <c r="E148" s="101"/>
      <c r="F148" s="102"/>
      <c r="G148" s="101"/>
      <c r="H148" s="367" t="s">
        <v>202</v>
      </c>
      <c r="I148" s="369" t="s">
        <v>184</v>
      </c>
      <c r="J148" s="360" t="s">
        <v>142</v>
      </c>
      <c r="K148" s="360"/>
      <c r="L148" s="371" t="s">
        <v>184</v>
      </c>
      <c r="M148" s="360" t="s">
        <v>203</v>
      </c>
      <c r="N148" s="360"/>
      <c r="O148" s="360"/>
      <c r="P148" s="371" t="s">
        <v>184</v>
      </c>
      <c r="Q148" s="360" t="s">
        <v>204</v>
      </c>
      <c r="R148" s="360"/>
      <c r="S148" s="360"/>
      <c r="T148" s="371" t="s">
        <v>184</v>
      </c>
      <c r="U148" s="360" t="s">
        <v>205</v>
      </c>
      <c r="V148" s="360"/>
      <c r="W148" s="360"/>
      <c r="X148" s="373"/>
      <c r="Y148" s="133"/>
      <c r="Z148" s="95"/>
      <c r="AA148" s="95"/>
      <c r="AB148" s="96"/>
      <c r="AC148" s="357"/>
      <c r="AD148" s="358"/>
      <c r="AE148" s="358"/>
      <c r="AF148" s="359"/>
      <c r="AI148" s="109" t="str">
        <f>"55:"&amp;IF(AND(I148="□",L148="□",P148="□",T148="□"),"field236:0:field237:0:field238:0",IF(I148="■","field236:1:field237:1:field238:1",IF(L148="■","field236:2","field236:1")
&amp;IF(P148="■",":field237:2",":field237:1")
&amp;IF(T148="■",":field238:2",":field238:1")))</f>
        <v>55:field236:0:field237:0:field238:0</v>
      </c>
    </row>
    <row r="149" spans="1:35" s="109" customFormat="1" ht="18.75" customHeight="1" x14ac:dyDescent="0.15">
      <c r="A149" s="97"/>
      <c r="B149" s="98"/>
      <c r="C149" s="182"/>
      <c r="D149" s="183"/>
      <c r="E149" s="101"/>
      <c r="F149" s="102"/>
      <c r="G149" s="101"/>
      <c r="H149" s="368"/>
      <c r="I149" s="370"/>
      <c r="J149" s="361"/>
      <c r="K149" s="361"/>
      <c r="L149" s="372"/>
      <c r="M149" s="361"/>
      <c r="N149" s="361"/>
      <c r="O149" s="361"/>
      <c r="P149" s="372"/>
      <c r="Q149" s="361"/>
      <c r="R149" s="361"/>
      <c r="S149" s="361"/>
      <c r="T149" s="372"/>
      <c r="U149" s="361"/>
      <c r="V149" s="361"/>
      <c r="W149" s="361"/>
      <c r="X149" s="374"/>
      <c r="Y149" s="133"/>
      <c r="Z149" s="95"/>
      <c r="AA149" s="95"/>
      <c r="AB149" s="96"/>
      <c r="AC149" s="357"/>
      <c r="AD149" s="358"/>
      <c r="AE149" s="358"/>
      <c r="AF149" s="359"/>
    </row>
    <row r="150" spans="1:35" s="109" customFormat="1" ht="18.75" customHeight="1" x14ac:dyDescent="0.15">
      <c r="A150" s="97"/>
      <c r="B150" s="98"/>
      <c r="C150" s="182"/>
      <c r="D150" s="183"/>
      <c r="E150" s="101"/>
      <c r="F150" s="102"/>
      <c r="G150" s="101"/>
      <c r="H150" s="142" t="s">
        <v>97</v>
      </c>
      <c r="I150" s="129" t="s">
        <v>184</v>
      </c>
      <c r="J150" s="105" t="s">
        <v>142</v>
      </c>
      <c r="K150" s="150"/>
      <c r="L150" s="163" t="s">
        <v>184</v>
      </c>
      <c r="M150" s="105" t="s">
        <v>150</v>
      </c>
      <c r="N150" s="136"/>
      <c r="O150" s="136"/>
      <c r="P150" s="136"/>
      <c r="Q150" s="136"/>
      <c r="R150" s="136"/>
      <c r="S150" s="136"/>
      <c r="T150" s="136"/>
      <c r="U150" s="136"/>
      <c r="V150" s="136"/>
      <c r="W150" s="136"/>
      <c r="X150" s="144"/>
      <c r="Y150" s="133"/>
      <c r="Z150" s="95"/>
      <c r="AA150" s="95"/>
      <c r="AB150" s="96"/>
      <c r="AC150" s="357"/>
      <c r="AD150" s="358"/>
      <c r="AE150" s="358"/>
      <c r="AF150" s="359"/>
      <c r="AI150" s="109" t="str">
        <f>"55:ninti_riha_code:" &amp; IF(I150="■",1,IF(L150="■",2,0))</f>
        <v>55:ninti_riha_code:0</v>
      </c>
    </row>
    <row r="151" spans="1:35" s="109" customFormat="1" ht="18.75" customHeight="1" x14ac:dyDescent="0.15">
      <c r="A151" s="97"/>
      <c r="B151" s="98"/>
      <c r="C151" s="182"/>
      <c r="D151" s="183"/>
      <c r="E151" s="101"/>
      <c r="F151" s="102"/>
      <c r="G151" s="101"/>
      <c r="H151" s="177" t="s">
        <v>95</v>
      </c>
      <c r="I151" s="134" t="s">
        <v>184</v>
      </c>
      <c r="J151" s="135" t="s">
        <v>142</v>
      </c>
      <c r="K151" s="135"/>
      <c r="L151" s="138" t="s">
        <v>184</v>
      </c>
      <c r="M151" s="135" t="s">
        <v>143</v>
      </c>
      <c r="N151" s="135"/>
      <c r="O151" s="138" t="s">
        <v>184</v>
      </c>
      <c r="P151" s="135" t="s">
        <v>144</v>
      </c>
      <c r="Q151" s="140"/>
      <c r="R151" s="136"/>
      <c r="S151" s="136"/>
      <c r="T151" s="136"/>
      <c r="U151" s="136"/>
      <c r="V151" s="136"/>
      <c r="W151" s="136"/>
      <c r="X151" s="144"/>
      <c r="Y151" s="133"/>
      <c r="Z151" s="95"/>
      <c r="AA151" s="95"/>
      <c r="AB151" s="96"/>
      <c r="AC151" s="357"/>
      <c r="AD151" s="358"/>
      <c r="AE151" s="358"/>
      <c r="AF151" s="359"/>
      <c r="AI151" s="109" t="str">
        <f>"55:ninti_senmoncare_code:" &amp; IF(I151="■",1,IF(O151="■",3,IF(L151="■",2,0)))</f>
        <v>55:ninti_senmoncare_code:0</v>
      </c>
    </row>
    <row r="152" spans="1:35" s="109" customFormat="1" ht="18.75" customHeight="1" x14ac:dyDescent="0.15">
      <c r="A152" s="97"/>
      <c r="B152" s="98"/>
      <c r="C152" s="182"/>
      <c r="D152" s="183"/>
      <c r="E152" s="101"/>
      <c r="F152" s="102"/>
      <c r="G152" s="101"/>
      <c r="H152" s="177" t="s">
        <v>200</v>
      </c>
      <c r="I152" s="134" t="s">
        <v>184</v>
      </c>
      <c r="J152" s="135" t="s">
        <v>142</v>
      </c>
      <c r="K152" s="135"/>
      <c r="L152" s="138" t="s">
        <v>184</v>
      </c>
      <c r="M152" s="135" t="s">
        <v>143</v>
      </c>
      <c r="N152" s="135"/>
      <c r="O152" s="138" t="s">
        <v>184</v>
      </c>
      <c r="P152" s="135" t="s">
        <v>144</v>
      </c>
      <c r="Q152" s="136"/>
      <c r="R152" s="136"/>
      <c r="S152" s="136"/>
      <c r="T152" s="136"/>
      <c r="U152" s="136"/>
      <c r="V152" s="136"/>
      <c r="W152" s="136"/>
      <c r="X152" s="144"/>
      <c r="Y152" s="133"/>
      <c r="Z152" s="95"/>
      <c r="AA152" s="95"/>
      <c r="AB152" s="96"/>
      <c r="AC152" s="357"/>
      <c r="AD152" s="358"/>
      <c r="AE152" s="358"/>
      <c r="AF152" s="359"/>
      <c r="AI152" s="109" t="str">
        <f>"55:field228:" &amp; IF(I152="■",1,IF(L152="■",2,IF(O152="■",3,0)))</f>
        <v>55:field228:0</v>
      </c>
    </row>
    <row r="153" spans="1:35" s="109" customFormat="1" ht="18.75" customHeight="1" x14ac:dyDescent="0.15">
      <c r="A153" s="97"/>
      <c r="B153" s="98"/>
      <c r="C153" s="182"/>
      <c r="D153" s="183"/>
      <c r="E153" s="101"/>
      <c r="F153" s="102"/>
      <c r="G153" s="101"/>
      <c r="H153" s="177" t="s">
        <v>107</v>
      </c>
      <c r="I153" s="134" t="s">
        <v>184</v>
      </c>
      <c r="J153" s="135" t="s">
        <v>142</v>
      </c>
      <c r="K153" s="135"/>
      <c r="L153" s="138" t="s">
        <v>184</v>
      </c>
      <c r="M153" s="135" t="s">
        <v>143</v>
      </c>
      <c r="N153" s="135"/>
      <c r="O153" s="138" t="s">
        <v>184</v>
      </c>
      <c r="P153" s="135" t="s">
        <v>144</v>
      </c>
      <c r="Q153" s="140"/>
      <c r="R153" s="135"/>
      <c r="S153" s="135"/>
      <c r="T153" s="135"/>
      <c r="U153" s="135"/>
      <c r="V153" s="135"/>
      <c r="W153" s="135"/>
      <c r="X153" s="143"/>
      <c r="Y153" s="133"/>
      <c r="Z153" s="95"/>
      <c r="AA153" s="95"/>
      <c r="AB153" s="96"/>
      <c r="AC153" s="357"/>
      <c r="AD153" s="358"/>
      <c r="AE153" s="358"/>
      <c r="AF153" s="359"/>
      <c r="AI153" s="109" t="str">
        <f>"55:field164:" &amp; IF(I153="■",1,IF(L153="■",2,IF(O153="■",3,0)))</f>
        <v>55:field164:0</v>
      </c>
    </row>
    <row r="154" spans="1:35" s="109" customFormat="1" ht="18.75" customHeight="1" x14ac:dyDescent="0.15">
      <c r="A154" s="97"/>
      <c r="B154" s="98"/>
      <c r="C154" s="182"/>
      <c r="D154" s="183"/>
      <c r="E154" s="101"/>
      <c r="F154" s="102"/>
      <c r="G154" s="101"/>
      <c r="H154" s="176" t="s">
        <v>122</v>
      </c>
      <c r="I154" s="129" t="s">
        <v>184</v>
      </c>
      <c r="J154" s="105" t="s">
        <v>142</v>
      </c>
      <c r="K154" s="150"/>
      <c r="L154" s="163" t="s">
        <v>184</v>
      </c>
      <c r="M154" s="105" t="s">
        <v>150</v>
      </c>
      <c r="N154" s="136"/>
      <c r="O154" s="136"/>
      <c r="P154" s="136"/>
      <c r="Q154" s="136"/>
      <c r="R154" s="136"/>
      <c r="S154" s="136"/>
      <c r="T154" s="136"/>
      <c r="U154" s="136"/>
      <c r="V154" s="136"/>
      <c r="W154" s="136"/>
      <c r="X154" s="144"/>
      <c r="Y154" s="133"/>
      <c r="Z154" s="95"/>
      <c r="AA154" s="95"/>
      <c r="AB154" s="96"/>
      <c r="AC154" s="357"/>
      <c r="AD154" s="358"/>
      <c r="AE154" s="358"/>
      <c r="AF154" s="359"/>
      <c r="AI154" s="109" t="str">
        <f>"55:field210:" &amp; IF(I154="■",1,IF(L154="■",2,0))</f>
        <v>55:field210:0</v>
      </c>
    </row>
    <row r="155" spans="1:35" s="109" customFormat="1" ht="18.75" customHeight="1" x14ac:dyDescent="0.15">
      <c r="A155" s="97"/>
      <c r="B155" s="98"/>
      <c r="C155" s="182"/>
      <c r="D155" s="183"/>
      <c r="E155" s="101"/>
      <c r="F155" s="102"/>
      <c r="G155" s="101"/>
      <c r="H155" s="177" t="s">
        <v>131</v>
      </c>
      <c r="I155" s="129" t="s">
        <v>184</v>
      </c>
      <c r="J155" s="105" t="s">
        <v>142</v>
      </c>
      <c r="K155" s="150"/>
      <c r="L155" s="163" t="s">
        <v>184</v>
      </c>
      <c r="M155" s="105" t="s">
        <v>150</v>
      </c>
      <c r="N155" s="136"/>
      <c r="O155" s="136"/>
      <c r="P155" s="136"/>
      <c r="Q155" s="136"/>
      <c r="R155" s="136"/>
      <c r="S155" s="136"/>
      <c r="T155" s="136"/>
      <c r="U155" s="136"/>
      <c r="V155" s="136"/>
      <c r="W155" s="136"/>
      <c r="X155" s="144"/>
      <c r="Y155" s="133"/>
      <c r="Z155" s="95"/>
      <c r="AA155" s="95"/>
      <c r="AB155" s="96"/>
      <c r="AC155" s="357"/>
      <c r="AD155" s="358"/>
      <c r="AE155" s="358"/>
      <c r="AF155" s="359"/>
      <c r="AI155" s="109" t="str">
        <f>"55:field211:" &amp; IF(I155="■",1,IF(L155="■",2,0))</f>
        <v>55:field211:0</v>
      </c>
    </row>
    <row r="156" spans="1:35" s="109" customFormat="1" ht="18.75" customHeight="1" x14ac:dyDescent="0.15">
      <c r="A156" s="97"/>
      <c r="B156" s="98"/>
      <c r="C156" s="182"/>
      <c r="D156" s="183"/>
      <c r="E156" s="101"/>
      <c r="F156" s="102"/>
      <c r="G156" s="101"/>
      <c r="H156" s="177" t="s">
        <v>121</v>
      </c>
      <c r="I156" s="129" t="s">
        <v>184</v>
      </c>
      <c r="J156" s="105" t="s">
        <v>142</v>
      </c>
      <c r="K156" s="150"/>
      <c r="L156" s="163" t="s">
        <v>184</v>
      </c>
      <c r="M156" s="105" t="s">
        <v>150</v>
      </c>
      <c r="N156" s="136"/>
      <c r="O156" s="136"/>
      <c r="P156" s="136"/>
      <c r="Q156" s="136"/>
      <c r="R156" s="136"/>
      <c r="S156" s="136"/>
      <c r="T156" s="136"/>
      <c r="U156" s="136"/>
      <c r="V156" s="136"/>
      <c r="W156" s="136"/>
      <c r="X156" s="144"/>
      <c r="Y156" s="133"/>
      <c r="Z156" s="95"/>
      <c r="AA156" s="95"/>
      <c r="AB156" s="96"/>
      <c r="AC156" s="357"/>
      <c r="AD156" s="358"/>
      <c r="AE156" s="358"/>
      <c r="AF156" s="359"/>
      <c r="AI156" s="109" t="str">
        <f>"55:field212:" &amp; IF(I156="■",1,IF(L156="■",2,0))</f>
        <v>55:field212:0</v>
      </c>
    </row>
    <row r="157" spans="1:35" s="109" customFormat="1" ht="18.75" customHeight="1" x14ac:dyDescent="0.15">
      <c r="A157" s="97"/>
      <c r="B157" s="98"/>
      <c r="C157" s="182"/>
      <c r="D157" s="183"/>
      <c r="E157" s="101"/>
      <c r="F157" s="102"/>
      <c r="G157" s="101"/>
      <c r="H157" s="177" t="s">
        <v>127</v>
      </c>
      <c r="I157" s="129" t="s">
        <v>184</v>
      </c>
      <c r="J157" s="105" t="s">
        <v>142</v>
      </c>
      <c r="K157" s="150"/>
      <c r="L157" s="163" t="s">
        <v>184</v>
      </c>
      <c r="M157" s="105" t="s">
        <v>150</v>
      </c>
      <c r="N157" s="136"/>
      <c r="O157" s="136"/>
      <c r="P157" s="136"/>
      <c r="Q157" s="136"/>
      <c r="R157" s="136"/>
      <c r="S157" s="136"/>
      <c r="T157" s="136"/>
      <c r="U157" s="136"/>
      <c r="V157" s="136"/>
      <c r="W157" s="136"/>
      <c r="X157" s="144"/>
      <c r="Y157" s="133"/>
      <c r="Z157" s="95"/>
      <c r="AA157" s="95"/>
      <c r="AB157" s="96"/>
      <c r="AC157" s="357"/>
      <c r="AD157" s="358"/>
      <c r="AE157" s="358"/>
      <c r="AF157" s="359"/>
      <c r="AI157" s="109" t="str">
        <f>"55:field209:" &amp; IF(I157="■",1,IF(L157="■",2,0))</f>
        <v>55:field209:0</v>
      </c>
    </row>
    <row r="158" spans="1:35" s="109" customFormat="1" ht="18.75" customHeight="1" x14ac:dyDescent="0.15">
      <c r="A158" s="97"/>
      <c r="B158" s="98"/>
      <c r="C158" s="182"/>
      <c r="D158" s="183"/>
      <c r="E158" s="101"/>
      <c r="F158" s="102"/>
      <c r="G158" s="101"/>
      <c r="H158" s="177" t="s">
        <v>206</v>
      </c>
      <c r="I158" s="134" t="s">
        <v>184</v>
      </c>
      <c r="J158" s="135" t="s">
        <v>142</v>
      </c>
      <c r="K158" s="135"/>
      <c r="L158" s="138" t="s">
        <v>184</v>
      </c>
      <c r="M158" s="105" t="s">
        <v>150</v>
      </c>
      <c r="N158" s="135"/>
      <c r="O158" s="135"/>
      <c r="P158" s="135"/>
      <c r="Q158" s="136"/>
      <c r="R158" s="136"/>
      <c r="S158" s="136"/>
      <c r="T158" s="136"/>
      <c r="U158" s="136"/>
      <c r="V158" s="136"/>
      <c r="W158" s="136"/>
      <c r="X158" s="144"/>
      <c r="Y158" s="133"/>
      <c r="Z158" s="95"/>
      <c r="AA158" s="95"/>
      <c r="AB158" s="96"/>
      <c r="AC158" s="357"/>
      <c r="AD158" s="358"/>
      <c r="AE158" s="358"/>
      <c r="AF158" s="359"/>
      <c r="AI158" s="109" t="str">
        <f>"55:field226:" &amp; IF(I158="■",1,IF(L158="■",2,0))</f>
        <v>55:field226:0</v>
      </c>
    </row>
    <row r="159" spans="1:35" s="109" customFormat="1" ht="18.75" customHeight="1" x14ac:dyDescent="0.15">
      <c r="A159" s="97"/>
      <c r="B159" s="98"/>
      <c r="C159" s="182"/>
      <c r="D159" s="183"/>
      <c r="E159" s="101"/>
      <c r="F159" s="102"/>
      <c r="G159" s="101"/>
      <c r="H159" s="177" t="s">
        <v>207</v>
      </c>
      <c r="I159" s="134" t="s">
        <v>184</v>
      </c>
      <c r="J159" s="135" t="s">
        <v>142</v>
      </c>
      <c r="K159" s="135"/>
      <c r="L159" s="138" t="s">
        <v>184</v>
      </c>
      <c r="M159" s="105" t="s">
        <v>150</v>
      </c>
      <c r="N159" s="135"/>
      <c r="O159" s="135"/>
      <c r="P159" s="135"/>
      <c r="Q159" s="136"/>
      <c r="R159" s="136"/>
      <c r="S159" s="136"/>
      <c r="T159" s="136"/>
      <c r="U159" s="136"/>
      <c r="V159" s="136"/>
      <c r="W159" s="136"/>
      <c r="X159" s="144"/>
      <c r="Y159" s="133"/>
      <c r="Z159" s="95"/>
      <c r="AA159" s="95"/>
      <c r="AB159" s="96"/>
      <c r="AC159" s="357"/>
      <c r="AD159" s="358"/>
      <c r="AE159" s="358"/>
      <c r="AF159" s="359"/>
      <c r="AI159" s="109" t="str">
        <f>"55:field227:" &amp; IF(I159="■",1,IF(L159="■",2,0))</f>
        <v>55:field227:0</v>
      </c>
    </row>
    <row r="160" spans="1:35" s="109" customFormat="1" ht="18.75" customHeight="1" x14ac:dyDescent="0.15">
      <c r="A160" s="97"/>
      <c r="B160" s="98"/>
      <c r="C160" s="182"/>
      <c r="D160" s="183"/>
      <c r="E160" s="101"/>
      <c r="F160" s="102"/>
      <c r="G160" s="101"/>
      <c r="H160" s="184" t="s">
        <v>199</v>
      </c>
      <c r="I160" s="134" t="s">
        <v>184</v>
      </c>
      <c r="J160" s="135" t="s">
        <v>142</v>
      </c>
      <c r="K160" s="135"/>
      <c r="L160" s="138" t="s">
        <v>184</v>
      </c>
      <c r="M160" s="135" t="s">
        <v>143</v>
      </c>
      <c r="N160" s="135"/>
      <c r="O160" s="138" t="s">
        <v>184</v>
      </c>
      <c r="P160" s="135" t="s">
        <v>144</v>
      </c>
      <c r="Q160" s="140"/>
      <c r="R160" s="140"/>
      <c r="S160" s="140"/>
      <c r="T160" s="140"/>
      <c r="U160" s="185"/>
      <c r="V160" s="185"/>
      <c r="W160" s="185"/>
      <c r="X160" s="186"/>
      <c r="Y160" s="133"/>
      <c r="Z160" s="95"/>
      <c r="AA160" s="95"/>
      <c r="AB160" s="96"/>
      <c r="AC160" s="357"/>
      <c r="AD160" s="358"/>
      <c r="AE160" s="358"/>
      <c r="AF160" s="359"/>
      <c r="AI160" s="109" t="str">
        <f>"55:field225:" &amp; IF(I160="■",1,IF(L160="■",2,IF(O160="■",3,0)))</f>
        <v>55:field225:0</v>
      </c>
    </row>
    <row r="161" spans="1:36" s="109" customFormat="1" ht="18.75" customHeight="1" x14ac:dyDescent="0.15">
      <c r="A161" s="97"/>
      <c r="B161" s="98"/>
      <c r="C161" s="182"/>
      <c r="D161" s="183"/>
      <c r="E161" s="101"/>
      <c r="F161" s="102"/>
      <c r="G161" s="101"/>
      <c r="H161" s="177" t="s">
        <v>96</v>
      </c>
      <c r="I161" s="134" t="s">
        <v>184</v>
      </c>
      <c r="J161" s="135" t="s">
        <v>142</v>
      </c>
      <c r="K161" s="135"/>
      <c r="L161" s="138" t="s">
        <v>184</v>
      </c>
      <c r="M161" s="135" t="s">
        <v>146</v>
      </c>
      <c r="N161" s="135"/>
      <c r="O161" s="138" t="s">
        <v>184</v>
      </c>
      <c r="P161" s="135" t="s">
        <v>147</v>
      </c>
      <c r="Q161" s="166"/>
      <c r="R161" s="138" t="s">
        <v>184</v>
      </c>
      <c r="S161" s="135" t="s">
        <v>151</v>
      </c>
      <c r="T161" s="135"/>
      <c r="U161" s="135"/>
      <c r="V161" s="135"/>
      <c r="W161" s="135"/>
      <c r="X161" s="143"/>
      <c r="Y161" s="133"/>
      <c r="Z161" s="95"/>
      <c r="AA161" s="95"/>
      <c r="AB161" s="96"/>
      <c r="AC161" s="357"/>
      <c r="AD161" s="358"/>
      <c r="AE161" s="358"/>
      <c r="AF161" s="359"/>
      <c r="AI161" s="109" t="str">
        <f>"55:serteikyo_kyoka_code:" &amp; IF(I161="■",1,IF(L161="■",6,IF(O161="■",5,IF(R161="■",7,0))))</f>
        <v>55:serteikyo_kyoka_code:0</v>
      </c>
    </row>
    <row r="162" spans="1:36" s="109" customFormat="1" ht="18.75" customHeight="1" x14ac:dyDescent="0.15">
      <c r="A162" s="152"/>
      <c r="B162" s="153"/>
      <c r="C162" s="154"/>
      <c r="D162" s="155"/>
      <c r="E162" s="156"/>
      <c r="F162" s="157"/>
      <c r="G162" s="158"/>
      <c r="H162" s="85" t="s">
        <v>208</v>
      </c>
      <c r="I162" s="159" t="s">
        <v>184</v>
      </c>
      <c r="J162" s="86" t="s">
        <v>142</v>
      </c>
      <c r="K162" s="86"/>
      <c r="L162" s="160" t="s">
        <v>184</v>
      </c>
      <c r="M162" s="86" t="s">
        <v>195</v>
      </c>
      <c r="N162" s="87"/>
      <c r="O162" s="160" t="s">
        <v>184</v>
      </c>
      <c r="P162" s="89" t="s">
        <v>196</v>
      </c>
      <c r="Q162" s="88"/>
      <c r="R162" s="160" t="s">
        <v>184</v>
      </c>
      <c r="S162" s="86" t="s">
        <v>197</v>
      </c>
      <c r="T162" s="88"/>
      <c r="U162" s="160" t="s">
        <v>184</v>
      </c>
      <c r="V162" s="86" t="s">
        <v>198</v>
      </c>
      <c r="W162" s="90"/>
      <c r="X162" s="91"/>
      <c r="Y162" s="161"/>
      <c r="Z162" s="161"/>
      <c r="AA162" s="161"/>
      <c r="AB162" s="162"/>
      <c r="AC162" s="363"/>
      <c r="AD162" s="364"/>
      <c r="AE162" s="364"/>
      <c r="AF162" s="365"/>
      <c r="AI162" s="109" t="str">
        <f>"55:shoguukaizen_code:"&amp;IF(I162="■",1,IF(L162="■",7,IF(O162="■",8,IF(R162="■",9,IF(U162="■","A",0)))))</f>
        <v>55:shoguukaizen_code:0</v>
      </c>
    </row>
    <row r="163" spans="1:36" s="109" customFormat="1" ht="18.75" customHeight="1" x14ac:dyDescent="0.15">
      <c r="A163" s="119"/>
      <c r="B163" s="120"/>
      <c r="C163" s="189"/>
      <c r="D163" s="190"/>
      <c r="E163" s="116"/>
      <c r="F163" s="123"/>
      <c r="G163" s="116"/>
      <c r="H163" s="352" t="s">
        <v>89</v>
      </c>
      <c r="I163" s="128" t="s">
        <v>184</v>
      </c>
      <c r="J163" s="114" t="s">
        <v>153</v>
      </c>
      <c r="K163" s="126"/>
      <c r="L163" s="179"/>
      <c r="M163" s="125" t="s">
        <v>184</v>
      </c>
      <c r="N163" s="114" t="s">
        <v>157</v>
      </c>
      <c r="O163" s="179"/>
      <c r="P163" s="179"/>
      <c r="Q163" s="125" t="s">
        <v>184</v>
      </c>
      <c r="R163" s="114" t="s">
        <v>158</v>
      </c>
      <c r="S163" s="179"/>
      <c r="T163" s="179"/>
      <c r="U163" s="125" t="s">
        <v>184</v>
      </c>
      <c r="V163" s="114" t="s">
        <v>159</v>
      </c>
      <c r="W163" s="179"/>
      <c r="X163" s="172"/>
      <c r="Y163" s="128" t="s">
        <v>184</v>
      </c>
      <c r="Z163" s="114" t="s">
        <v>141</v>
      </c>
      <c r="AA163" s="114"/>
      <c r="AB163" s="127"/>
      <c r="AC163" s="354"/>
      <c r="AD163" s="355"/>
      <c r="AE163" s="355"/>
      <c r="AF163" s="356"/>
      <c r="AG163" s="109" t="str">
        <f>"ser_code = '" &amp; IF(A174="■",55,"") &amp; "'"</f>
        <v>ser_code = ''</v>
      </c>
      <c r="AH163" s="109" t="str">
        <f>"55:jininkbn_code:"&amp;IF(F174="■",1,IF(F175="■",2,0))</f>
        <v>55:jininkbn_code:0</v>
      </c>
      <c r="AI163" s="109" t="str">
        <f>"55:yakan_kinmu_code:" &amp; IF(I163="■",1,IF(M163="■",2,IF(Q163="■",3,IF(U163="■",7,IF(I164="■",5,IF(M164="■",6,0))))))</f>
        <v>55:yakan_kinmu_code:0</v>
      </c>
      <c r="AJ163" s="109" t="str">
        <f>"55:field203:" &amp; IF(Y163="■",1,IF(Y164="■",2,0))</f>
        <v>55:field203:0</v>
      </c>
    </row>
    <row r="164" spans="1:36" s="109" customFormat="1" ht="18.75" customHeight="1" x14ac:dyDescent="0.15">
      <c r="A164" s="97"/>
      <c r="B164" s="98"/>
      <c r="C164" s="182"/>
      <c r="D164" s="183"/>
      <c r="E164" s="101"/>
      <c r="F164" s="102"/>
      <c r="G164" s="101"/>
      <c r="H164" s="362"/>
      <c r="I164" s="129" t="s">
        <v>184</v>
      </c>
      <c r="J164" s="105" t="s">
        <v>160</v>
      </c>
      <c r="K164" s="150"/>
      <c r="L164" s="130"/>
      <c r="M164" s="163" t="s">
        <v>184</v>
      </c>
      <c r="N164" s="105" t="s">
        <v>154</v>
      </c>
      <c r="O164" s="130"/>
      <c r="P164" s="130"/>
      <c r="Q164" s="130"/>
      <c r="R164" s="130"/>
      <c r="S164" s="130"/>
      <c r="T164" s="130"/>
      <c r="U164" s="130"/>
      <c r="V164" s="130"/>
      <c r="W164" s="130"/>
      <c r="X164" s="175"/>
      <c r="Y164" s="117" t="s">
        <v>184</v>
      </c>
      <c r="Z164" s="94" t="s">
        <v>145</v>
      </c>
      <c r="AA164" s="95"/>
      <c r="AB164" s="96"/>
      <c r="AC164" s="357"/>
      <c r="AD164" s="358"/>
      <c r="AE164" s="358"/>
      <c r="AF164" s="359"/>
      <c r="AG164" s="109" t="str">
        <f>"55:sisetukbn_code:" &amp; IF(D174="■",6,0)</f>
        <v>55:sisetukbn_code:0</v>
      </c>
    </row>
    <row r="165" spans="1:36" s="109" customFormat="1" ht="18.75" customHeight="1" x14ac:dyDescent="0.15">
      <c r="A165" s="97"/>
      <c r="B165" s="98"/>
      <c r="C165" s="182"/>
      <c r="D165" s="183"/>
      <c r="E165" s="101"/>
      <c r="F165" s="102"/>
      <c r="G165" s="101"/>
      <c r="H165" s="366" t="s">
        <v>87</v>
      </c>
      <c r="I165" s="164" t="s">
        <v>184</v>
      </c>
      <c r="J165" s="146" t="s">
        <v>142</v>
      </c>
      <c r="K165" s="146"/>
      <c r="L165" s="168"/>
      <c r="M165" s="165" t="s">
        <v>184</v>
      </c>
      <c r="N165" s="146" t="s">
        <v>152</v>
      </c>
      <c r="O165" s="146"/>
      <c r="P165" s="168"/>
      <c r="Q165" s="165" t="s">
        <v>184</v>
      </c>
      <c r="R165" s="168" t="s">
        <v>173</v>
      </c>
      <c r="S165" s="168"/>
      <c r="T165" s="168"/>
      <c r="U165" s="165" t="s">
        <v>184</v>
      </c>
      <c r="V165" s="168" t="s">
        <v>174</v>
      </c>
      <c r="W165" s="185"/>
      <c r="X165" s="186"/>
      <c r="Y165" s="133"/>
      <c r="Z165" s="95"/>
      <c r="AA165" s="95"/>
      <c r="AB165" s="96"/>
      <c r="AC165" s="357"/>
      <c r="AD165" s="358"/>
      <c r="AE165" s="358"/>
      <c r="AF165" s="359"/>
      <c r="AI165" s="109" t="str">
        <f>"55:"&amp;IF(AND(I165="□",M165="□",Q165="□",U165="□",I166="□",M166="□"),"ketu_doctor_code:0",IF(I165="■","ketu_doctor_code:1:field197:1:ketu_kangos_code:1:ketu_kshoku_code:1:ketu_ksiensou_code:1",IF(M165="■","ketu_doctor_code:2","ketu_doctor_code:1")
&amp;IF(Q165="■",":field197:2",":field197:1")
&amp;IF(U165="■",":ketu_kangos_code:2",":ketu_kangos_code:1")
&amp;IF(I166="■",":ketu_kshoku_code:2",":ketu_kshoku_code:1")
&amp;IF(M166="■",":ketu_ksiensou_code:2",":ketu_ksiensou_code:1")))</f>
        <v>55:ketu_doctor_code:0</v>
      </c>
    </row>
    <row r="166" spans="1:36" s="109" customFormat="1" ht="18.75" customHeight="1" x14ac:dyDescent="0.15">
      <c r="A166" s="97"/>
      <c r="B166" s="98"/>
      <c r="C166" s="182"/>
      <c r="D166" s="183"/>
      <c r="E166" s="101"/>
      <c r="F166" s="102"/>
      <c r="G166" s="101"/>
      <c r="H166" s="362"/>
      <c r="I166" s="129" t="s">
        <v>184</v>
      </c>
      <c r="J166" s="130" t="s">
        <v>175</v>
      </c>
      <c r="K166" s="105"/>
      <c r="L166" s="130"/>
      <c r="M166" s="163" t="s">
        <v>184</v>
      </c>
      <c r="N166" s="105" t="s">
        <v>189</v>
      </c>
      <c r="O166" s="105"/>
      <c r="P166" s="130"/>
      <c r="Q166" s="130"/>
      <c r="R166" s="130"/>
      <c r="S166" s="130"/>
      <c r="T166" s="130"/>
      <c r="U166" s="130"/>
      <c r="V166" s="130"/>
      <c r="W166" s="131"/>
      <c r="X166" s="132"/>
      <c r="Y166" s="133"/>
      <c r="Z166" s="95"/>
      <c r="AA166" s="95"/>
      <c r="AB166" s="96"/>
      <c r="AC166" s="357"/>
      <c r="AD166" s="358"/>
      <c r="AE166" s="358"/>
      <c r="AF166" s="359"/>
    </row>
    <row r="167" spans="1:36" s="109" customFormat="1" ht="18.75" customHeight="1" x14ac:dyDescent="0.15">
      <c r="A167" s="97"/>
      <c r="B167" s="98"/>
      <c r="C167" s="182"/>
      <c r="D167" s="183"/>
      <c r="E167" s="101"/>
      <c r="F167" s="102"/>
      <c r="G167" s="101"/>
      <c r="H167" s="177" t="s">
        <v>90</v>
      </c>
      <c r="I167" s="134" t="s">
        <v>184</v>
      </c>
      <c r="J167" s="135" t="s">
        <v>148</v>
      </c>
      <c r="K167" s="136"/>
      <c r="L167" s="166"/>
      <c r="M167" s="138" t="s">
        <v>184</v>
      </c>
      <c r="N167" s="135" t="s">
        <v>149</v>
      </c>
      <c r="O167" s="136"/>
      <c r="P167" s="140"/>
      <c r="Q167" s="140"/>
      <c r="R167" s="140"/>
      <c r="S167" s="140"/>
      <c r="T167" s="140"/>
      <c r="U167" s="140"/>
      <c r="V167" s="140"/>
      <c r="W167" s="140"/>
      <c r="X167" s="141"/>
      <c r="Y167" s="133"/>
      <c r="Z167" s="95"/>
      <c r="AA167" s="95"/>
      <c r="AB167" s="96"/>
      <c r="AC167" s="357"/>
      <c r="AD167" s="358"/>
      <c r="AE167" s="358"/>
      <c r="AF167" s="359"/>
      <c r="AI167" s="109" t="str">
        <f>"55:unitcare_code:" &amp; IF(I167="■",1,IF(M167="■",2,0))</f>
        <v>55:unitcare_code:0</v>
      </c>
    </row>
    <row r="168" spans="1:36" s="109" customFormat="1" ht="18.75" customHeight="1" x14ac:dyDescent="0.15">
      <c r="A168" s="97"/>
      <c r="B168" s="98"/>
      <c r="C168" s="182"/>
      <c r="D168" s="183"/>
      <c r="E168" s="101"/>
      <c r="F168" s="102"/>
      <c r="G168" s="101"/>
      <c r="H168" s="177" t="s">
        <v>92</v>
      </c>
      <c r="I168" s="134" t="s">
        <v>184</v>
      </c>
      <c r="J168" s="135" t="s">
        <v>185</v>
      </c>
      <c r="K168" s="136"/>
      <c r="L168" s="166"/>
      <c r="M168" s="138" t="s">
        <v>184</v>
      </c>
      <c r="N168" s="135" t="s">
        <v>186</v>
      </c>
      <c r="O168" s="140"/>
      <c r="P168" s="140"/>
      <c r="Q168" s="140"/>
      <c r="R168" s="140"/>
      <c r="S168" s="140"/>
      <c r="T168" s="140"/>
      <c r="U168" s="140"/>
      <c r="V168" s="140"/>
      <c r="W168" s="140"/>
      <c r="X168" s="141"/>
      <c r="Y168" s="133"/>
      <c r="Z168" s="95"/>
      <c r="AA168" s="95"/>
      <c r="AB168" s="96"/>
      <c r="AC168" s="357"/>
      <c r="AD168" s="358"/>
      <c r="AE168" s="358"/>
      <c r="AF168" s="359"/>
      <c r="AI168" s="109" t="str">
        <f>"55:sintaikousoku_code:" &amp; IF(I168="■",1,IF(M168="■",2,0))</f>
        <v>55:sintaikousoku_code:0</v>
      </c>
    </row>
    <row r="169" spans="1:36" s="109" customFormat="1" ht="18.75" customHeight="1" x14ac:dyDescent="0.15">
      <c r="A169" s="97"/>
      <c r="B169" s="98"/>
      <c r="C169" s="182"/>
      <c r="D169" s="183"/>
      <c r="E169" s="101"/>
      <c r="F169" s="102"/>
      <c r="G169" s="101"/>
      <c r="H169" s="177" t="s">
        <v>124</v>
      </c>
      <c r="I169" s="134" t="s">
        <v>184</v>
      </c>
      <c r="J169" s="135" t="s">
        <v>185</v>
      </c>
      <c r="K169" s="136"/>
      <c r="L169" s="166"/>
      <c r="M169" s="138" t="s">
        <v>184</v>
      </c>
      <c r="N169" s="135" t="s">
        <v>186</v>
      </c>
      <c r="O169" s="140"/>
      <c r="P169" s="140"/>
      <c r="Q169" s="140"/>
      <c r="R169" s="140"/>
      <c r="S169" s="140"/>
      <c r="T169" s="140"/>
      <c r="U169" s="140"/>
      <c r="V169" s="140"/>
      <c r="W169" s="140"/>
      <c r="X169" s="141"/>
      <c r="Y169" s="133"/>
      <c r="Z169" s="95"/>
      <c r="AA169" s="95"/>
      <c r="AB169" s="96"/>
      <c r="AC169" s="357"/>
      <c r="AD169" s="358"/>
      <c r="AE169" s="358"/>
      <c r="AF169" s="359"/>
      <c r="AI169" s="109" t="str">
        <f>"55:field208:" &amp; IF(I169="■",1,IF(M169="■",2,0))</f>
        <v>55:field208:0</v>
      </c>
    </row>
    <row r="170" spans="1:36" s="109" customFormat="1" ht="19.5" customHeight="1" x14ac:dyDescent="0.15">
      <c r="A170" s="97"/>
      <c r="B170" s="98"/>
      <c r="C170" s="99"/>
      <c r="D170" s="100"/>
      <c r="E170" s="101"/>
      <c r="F170" s="102"/>
      <c r="G170" s="103"/>
      <c r="H170" s="104" t="s">
        <v>192</v>
      </c>
      <c r="I170" s="134" t="s">
        <v>184</v>
      </c>
      <c r="J170" s="135" t="s">
        <v>185</v>
      </c>
      <c r="K170" s="136"/>
      <c r="L170" s="137"/>
      <c r="M170" s="138" t="s">
        <v>184</v>
      </c>
      <c r="N170" s="135" t="s">
        <v>193</v>
      </c>
      <c r="O170" s="139"/>
      <c r="P170" s="135"/>
      <c r="Q170" s="140"/>
      <c r="R170" s="140"/>
      <c r="S170" s="140"/>
      <c r="T170" s="140"/>
      <c r="U170" s="140"/>
      <c r="V170" s="140"/>
      <c r="W170" s="140"/>
      <c r="X170" s="141"/>
      <c r="Y170" s="95"/>
      <c r="Z170" s="95"/>
      <c r="AA170" s="95"/>
      <c r="AB170" s="96"/>
      <c r="AC170" s="357"/>
      <c r="AD170" s="358"/>
      <c r="AE170" s="358"/>
      <c r="AF170" s="359"/>
      <c r="AI170" s="109" t="str">
        <f>"55:field223:" &amp; IF(I170="■",1,IF(M170="■",2,0))</f>
        <v>55:field223:0</v>
      </c>
    </row>
    <row r="171" spans="1:36" s="109" customFormat="1" ht="19.5" customHeight="1" x14ac:dyDescent="0.15">
      <c r="A171" s="97"/>
      <c r="B171" s="98"/>
      <c r="C171" s="99"/>
      <c r="D171" s="100"/>
      <c r="E171" s="101"/>
      <c r="F171" s="102"/>
      <c r="G171" s="103"/>
      <c r="H171" s="104" t="s">
        <v>201</v>
      </c>
      <c r="I171" s="134" t="s">
        <v>184</v>
      </c>
      <c r="J171" s="135" t="s">
        <v>185</v>
      </c>
      <c r="K171" s="136"/>
      <c r="L171" s="137"/>
      <c r="M171" s="138" t="s">
        <v>184</v>
      </c>
      <c r="N171" s="135" t="s">
        <v>193</v>
      </c>
      <c r="O171" s="139"/>
      <c r="P171" s="135"/>
      <c r="Q171" s="140"/>
      <c r="R171" s="140"/>
      <c r="S171" s="140"/>
      <c r="T171" s="140"/>
      <c r="U171" s="140"/>
      <c r="V171" s="140"/>
      <c r="W171" s="140"/>
      <c r="X171" s="141"/>
      <c r="Y171" s="95"/>
      <c r="Z171" s="95"/>
      <c r="AA171" s="95"/>
      <c r="AB171" s="96"/>
      <c r="AC171" s="357"/>
      <c r="AD171" s="358"/>
      <c r="AE171" s="358"/>
      <c r="AF171" s="359"/>
      <c r="AI171" s="109" t="str">
        <f>"55:field232:" &amp; IF(I171="■",1,IF(M171="■",2,0))</f>
        <v>55:field232:0</v>
      </c>
    </row>
    <row r="172" spans="1:36" s="109" customFormat="1" ht="18.75" customHeight="1" x14ac:dyDescent="0.15">
      <c r="A172" s="97"/>
      <c r="B172" s="98"/>
      <c r="C172" s="182"/>
      <c r="D172" s="183"/>
      <c r="E172" s="101"/>
      <c r="F172" s="102"/>
      <c r="G172" s="101"/>
      <c r="H172" s="367" t="s">
        <v>125</v>
      </c>
      <c r="I172" s="369" t="s">
        <v>184</v>
      </c>
      <c r="J172" s="360" t="s">
        <v>142</v>
      </c>
      <c r="K172" s="360"/>
      <c r="L172" s="371" t="s">
        <v>184</v>
      </c>
      <c r="M172" s="360" t="s">
        <v>150</v>
      </c>
      <c r="N172" s="360"/>
      <c r="O172" s="168"/>
      <c r="P172" s="168"/>
      <c r="Q172" s="168"/>
      <c r="R172" s="168"/>
      <c r="S172" s="168"/>
      <c r="T172" s="168"/>
      <c r="U172" s="168"/>
      <c r="V172" s="168"/>
      <c r="W172" s="168"/>
      <c r="X172" s="169"/>
      <c r="Y172" s="133"/>
      <c r="Z172" s="95"/>
      <c r="AA172" s="95"/>
      <c r="AB172" s="96"/>
      <c r="AC172" s="357"/>
      <c r="AD172" s="358"/>
      <c r="AE172" s="358"/>
      <c r="AF172" s="359"/>
      <c r="AI172" s="109" t="str">
        <f>"55:field206:" &amp; IF(I172="■",1,IF(L172="■",2,0))</f>
        <v>55:field206:0</v>
      </c>
    </row>
    <row r="173" spans="1:36" s="109" customFormat="1" ht="18.75" customHeight="1" x14ac:dyDescent="0.15">
      <c r="A173" s="97"/>
      <c r="B173" s="98"/>
      <c r="C173" s="182"/>
      <c r="D173" s="183"/>
      <c r="E173" s="101"/>
      <c r="F173" s="102"/>
      <c r="G173" s="101"/>
      <c r="H173" s="368"/>
      <c r="I173" s="370"/>
      <c r="J173" s="361"/>
      <c r="K173" s="361"/>
      <c r="L173" s="372"/>
      <c r="M173" s="361"/>
      <c r="N173" s="361"/>
      <c r="O173" s="130"/>
      <c r="P173" s="130"/>
      <c r="Q173" s="130"/>
      <c r="R173" s="130"/>
      <c r="S173" s="130"/>
      <c r="T173" s="130"/>
      <c r="U173" s="130"/>
      <c r="V173" s="130"/>
      <c r="W173" s="130"/>
      <c r="X173" s="175"/>
      <c r="Y173" s="133"/>
      <c r="Z173" s="95"/>
      <c r="AA173" s="95"/>
      <c r="AB173" s="96"/>
      <c r="AC173" s="357"/>
      <c r="AD173" s="358"/>
      <c r="AE173" s="358"/>
      <c r="AF173" s="359"/>
    </row>
    <row r="174" spans="1:36" s="109" customFormat="1" ht="18.75" customHeight="1" x14ac:dyDescent="0.15">
      <c r="A174" s="117" t="s">
        <v>184</v>
      </c>
      <c r="B174" s="98">
        <v>55</v>
      </c>
      <c r="C174" s="182" t="s">
        <v>126</v>
      </c>
      <c r="D174" s="117" t="s">
        <v>184</v>
      </c>
      <c r="E174" s="101" t="s">
        <v>110</v>
      </c>
      <c r="F174" s="117" t="s">
        <v>184</v>
      </c>
      <c r="G174" s="101" t="s">
        <v>180</v>
      </c>
      <c r="H174" s="177" t="s">
        <v>112</v>
      </c>
      <c r="I174" s="134" t="s">
        <v>184</v>
      </c>
      <c r="J174" s="135" t="s">
        <v>187</v>
      </c>
      <c r="K174" s="136"/>
      <c r="L174" s="137"/>
      <c r="M174" s="138" t="s">
        <v>184</v>
      </c>
      <c r="N174" s="135" t="s">
        <v>161</v>
      </c>
      <c r="O174" s="140"/>
      <c r="P174" s="140"/>
      <c r="Q174" s="140"/>
      <c r="R174" s="140"/>
      <c r="S174" s="140"/>
      <c r="T174" s="140"/>
      <c r="U174" s="140"/>
      <c r="V174" s="140"/>
      <c r="W174" s="140"/>
      <c r="X174" s="141"/>
      <c r="Y174" s="133"/>
      <c r="Z174" s="95"/>
      <c r="AA174" s="95"/>
      <c r="AB174" s="96"/>
      <c r="AC174" s="357"/>
      <c r="AD174" s="358"/>
      <c r="AE174" s="358"/>
      <c r="AF174" s="359"/>
      <c r="AI174" s="109" t="str">
        <f>"55:field190:" &amp; IF(I174="■",1,IF(M174="■",2,0))</f>
        <v>55:field190:0</v>
      </c>
    </row>
    <row r="175" spans="1:36" s="109" customFormat="1" ht="18.75" customHeight="1" x14ac:dyDescent="0.15">
      <c r="A175" s="97"/>
      <c r="B175" s="98"/>
      <c r="C175" s="182"/>
      <c r="D175" s="183"/>
      <c r="E175" s="101"/>
      <c r="F175" s="117" t="s">
        <v>184</v>
      </c>
      <c r="G175" s="101" t="s">
        <v>168</v>
      </c>
      <c r="H175" s="177" t="s">
        <v>113</v>
      </c>
      <c r="I175" s="134" t="s">
        <v>184</v>
      </c>
      <c r="J175" s="135" t="s">
        <v>187</v>
      </c>
      <c r="K175" s="136"/>
      <c r="L175" s="137"/>
      <c r="M175" s="138" t="s">
        <v>184</v>
      </c>
      <c r="N175" s="135" t="s">
        <v>161</v>
      </c>
      <c r="O175" s="140"/>
      <c r="P175" s="140"/>
      <c r="Q175" s="140"/>
      <c r="R175" s="140"/>
      <c r="S175" s="140"/>
      <c r="T175" s="140"/>
      <c r="U175" s="140"/>
      <c r="V175" s="140"/>
      <c r="W175" s="140"/>
      <c r="X175" s="141"/>
      <c r="Y175" s="133"/>
      <c r="Z175" s="95"/>
      <c r="AA175" s="95"/>
      <c r="AB175" s="96"/>
      <c r="AC175" s="357"/>
      <c r="AD175" s="358"/>
      <c r="AE175" s="358"/>
      <c r="AF175" s="359"/>
      <c r="AI175" s="109" t="str">
        <f>"55:field191:" &amp; IF(I175="■",1,IF(M175="■",2,0))</f>
        <v>55:field191:0</v>
      </c>
    </row>
    <row r="176" spans="1:36" s="109" customFormat="1" ht="18.75" customHeight="1" x14ac:dyDescent="0.15">
      <c r="A176" s="97"/>
      <c r="B176" s="98"/>
      <c r="C176" s="182"/>
      <c r="D176" s="183"/>
      <c r="E176" s="101"/>
      <c r="F176" s="102"/>
      <c r="G176" s="101"/>
      <c r="H176" s="177" t="s">
        <v>98</v>
      </c>
      <c r="I176" s="129" t="s">
        <v>184</v>
      </c>
      <c r="J176" s="105" t="s">
        <v>142</v>
      </c>
      <c r="K176" s="150"/>
      <c r="L176" s="163" t="s">
        <v>184</v>
      </c>
      <c r="M176" s="105" t="s">
        <v>150</v>
      </c>
      <c r="N176" s="136"/>
      <c r="O176" s="140"/>
      <c r="P176" s="140"/>
      <c r="Q176" s="140"/>
      <c r="R176" s="140"/>
      <c r="S176" s="140"/>
      <c r="T176" s="140"/>
      <c r="U176" s="140"/>
      <c r="V176" s="140"/>
      <c r="W176" s="140"/>
      <c r="X176" s="141"/>
      <c r="Y176" s="133"/>
      <c r="Z176" s="95"/>
      <c r="AA176" s="95"/>
      <c r="AB176" s="96"/>
      <c r="AC176" s="357"/>
      <c r="AD176" s="358"/>
      <c r="AE176" s="358"/>
      <c r="AF176" s="359"/>
      <c r="AI176" s="109" t="str">
        <f>"55:jyakuninti_uke_code:" &amp; IF(I176="■",1,IF(L176="■",2,0))</f>
        <v>55:jyakuninti_uke_code:0</v>
      </c>
    </row>
    <row r="177" spans="1:35" s="109" customFormat="1" ht="18.75" customHeight="1" x14ac:dyDescent="0.15">
      <c r="A177" s="97"/>
      <c r="B177" s="98"/>
      <c r="C177" s="182"/>
      <c r="D177" s="183"/>
      <c r="E177" s="101"/>
      <c r="F177" s="102"/>
      <c r="G177" s="101"/>
      <c r="H177" s="177" t="s">
        <v>123</v>
      </c>
      <c r="I177" s="129" t="s">
        <v>184</v>
      </c>
      <c r="J177" s="105" t="s">
        <v>142</v>
      </c>
      <c r="K177" s="150"/>
      <c r="L177" s="163" t="s">
        <v>184</v>
      </c>
      <c r="M177" s="105" t="s">
        <v>150</v>
      </c>
      <c r="N177" s="136"/>
      <c r="O177" s="140"/>
      <c r="P177" s="140"/>
      <c r="Q177" s="140"/>
      <c r="R177" s="140"/>
      <c r="S177" s="140"/>
      <c r="T177" s="140"/>
      <c r="U177" s="140"/>
      <c r="V177" s="140"/>
      <c r="W177" s="140"/>
      <c r="X177" s="141"/>
      <c r="Y177" s="133"/>
      <c r="Z177" s="95"/>
      <c r="AA177" s="95"/>
      <c r="AB177" s="96"/>
      <c r="AC177" s="357"/>
      <c r="AD177" s="358"/>
      <c r="AE177" s="358"/>
      <c r="AF177" s="359"/>
      <c r="AI177" s="109" t="str">
        <f>"55:field207:" &amp; IF(I177="■",1,IF(L177="■",2,0))</f>
        <v>55:field207:0</v>
      </c>
    </row>
    <row r="178" spans="1:35" s="109" customFormat="1" ht="18.75" customHeight="1" x14ac:dyDescent="0.15">
      <c r="A178" s="97"/>
      <c r="B178" s="98"/>
      <c r="C178" s="182"/>
      <c r="D178" s="183"/>
      <c r="E178" s="101"/>
      <c r="F178" s="102"/>
      <c r="G178" s="101"/>
      <c r="H178" s="177" t="s">
        <v>94</v>
      </c>
      <c r="I178" s="129" t="s">
        <v>184</v>
      </c>
      <c r="J178" s="105" t="s">
        <v>142</v>
      </c>
      <c r="K178" s="150"/>
      <c r="L178" s="163" t="s">
        <v>184</v>
      </c>
      <c r="M178" s="105" t="s">
        <v>150</v>
      </c>
      <c r="N178" s="136"/>
      <c r="O178" s="140"/>
      <c r="P178" s="140"/>
      <c r="Q178" s="140"/>
      <c r="R178" s="140"/>
      <c r="S178" s="140"/>
      <c r="T178" s="140"/>
      <c r="U178" s="140"/>
      <c r="V178" s="140"/>
      <c r="W178" s="140"/>
      <c r="X178" s="141"/>
      <c r="Y178" s="133"/>
      <c r="Z178" s="95"/>
      <c r="AA178" s="95"/>
      <c r="AB178" s="96"/>
      <c r="AC178" s="357"/>
      <c r="AD178" s="358"/>
      <c r="AE178" s="358"/>
      <c r="AF178" s="359"/>
      <c r="AI178" s="109" t="str">
        <f>"55:ryouyoushoku_code:" &amp; IF(I178="■",1,IF(L178="■",2,0))</f>
        <v>55:ryouyoushoku_code:0</v>
      </c>
    </row>
    <row r="179" spans="1:35" s="109" customFormat="1" ht="18.75" customHeight="1" x14ac:dyDescent="0.15">
      <c r="A179" s="97"/>
      <c r="B179" s="98"/>
      <c r="C179" s="182"/>
      <c r="D179" s="183"/>
      <c r="E179" s="101"/>
      <c r="F179" s="102"/>
      <c r="G179" s="101"/>
      <c r="H179" s="177" t="s">
        <v>95</v>
      </c>
      <c r="I179" s="134" t="s">
        <v>184</v>
      </c>
      <c r="J179" s="135" t="s">
        <v>142</v>
      </c>
      <c r="K179" s="135"/>
      <c r="L179" s="138" t="s">
        <v>184</v>
      </c>
      <c r="M179" s="135" t="s">
        <v>143</v>
      </c>
      <c r="N179" s="135"/>
      <c r="O179" s="138" t="s">
        <v>184</v>
      </c>
      <c r="P179" s="135" t="s">
        <v>144</v>
      </c>
      <c r="Q179" s="140"/>
      <c r="R179" s="136"/>
      <c r="S179" s="140"/>
      <c r="T179" s="140"/>
      <c r="U179" s="140"/>
      <c r="V179" s="140"/>
      <c r="W179" s="140"/>
      <c r="X179" s="141"/>
      <c r="Y179" s="133"/>
      <c r="Z179" s="95"/>
      <c r="AA179" s="95"/>
      <c r="AB179" s="96"/>
      <c r="AC179" s="357"/>
      <c r="AD179" s="358"/>
      <c r="AE179" s="358"/>
      <c r="AF179" s="359"/>
      <c r="AI179" s="109" t="str">
        <f>"55:ninti_senmoncare_code:" &amp; IF(I179="■",1,IF(O179="■",3,IF(L179="■",2,0)))</f>
        <v>55:ninti_senmoncare_code:0</v>
      </c>
    </row>
    <row r="180" spans="1:35" s="109" customFormat="1" ht="18.75" customHeight="1" x14ac:dyDescent="0.15">
      <c r="A180" s="97"/>
      <c r="B180" s="98"/>
      <c r="C180" s="182"/>
      <c r="D180" s="183"/>
      <c r="E180" s="101"/>
      <c r="F180" s="102"/>
      <c r="G180" s="101"/>
      <c r="H180" s="177" t="s">
        <v>200</v>
      </c>
      <c r="I180" s="134" t="s">
        <v>184</v>
      </c>
      <c r="J180" s="135" t="s">
        <v>142</v>
      </c>
      <c r="K180" s="135"/>
      <c r="L180" s="138" t="s">
        <v>184</v>
      </c>
      <c r="M180" s="135" t="s">
        <v>143</v>
      </c>
      <c r="N180" s="135"/>
      <c r="O180" s="138" t="s">
        <v>184</v>
      </c>
      <c r="P180" s="135" t="s">
        <v>144</v>
      </c>
      <c r="Q180" s="136"/>
      <c r="R180" s="136"/>
      <c r="S180" s="136"/>
      <c r="T180" s="136"/>
      <c r="U180" s="136"/>
      <c r="V180" s="136"/>
      <c r="W180" s="136"/>
      <c r="X180" s="144"/>
      <c r="Y180" s="133"/>
      <c r="Z180" s="95"/>
      <c r="AA180" s="95"/>
      <c r="AB180" s="96"/>
      <c r="AC180" s="357"/>
      <c r="AD180" s="358"/>
      <c r="AE180" s="358"/>
      <c r="AF180" s="359"/>
      <c r="AI180" s="109" t="str">
        <f>"55:field228:" &amp; IF(I180="■",1,IF(L180="■",2,IF(O180="■",3,0)))</f>
        <v>55:field228:0</v>
      </c>
    </row>
    <row r="181" spans="1:35" s="109" customFormat="1" ht="18.75" customHeight="1" x14ac:dyDescent="0.15">
      <c r="A181" s="97"/>
      <c r="B181" s="98"/>
      <c r="C181" s="182"/>
      <c r="D181" s="183"/>
      <c r="E181" s="101"/>
      <c r="F181" s="102"/>
      <c r="G181" s="101"/>
      <c r="H181" s="177" t="s">
        <v>130</v>
      </c>
      <c r="I181" s="134" t="s">
        <v>184</v>
      </c>
      <c r="J181" s="135" t="s">
        <v>142</v>
      </c>
      <c r="K181" s="135"/>
      <c r="L181" s="138" t="s">
        <v>184</v>
      </c>
      <c r="M181" s="135" t="s">
        <v>143</v>
      </c>
      <c r="N181" s="135"/>
      <c r="O181" s="138" t="s">
        <v>184</v>
      </c>
      <c r="P181" s="135" t="s">
        <v>144</v>
      </c>
      <c r="Q181" s="140"/>
      <c r="R181" s="135"/>
      <c r="S181" s="166"/>
      <c r="T181" s="166"/>
      <c r="U181" s="166"/>
      <c r="V181" s="166"/>
      <c r="W181" s="166"/>
      <c r="X181" s="167"/>
      <c r="Y181" s="133"/>
      <c r="Z181" s="95"/>
      <c r="AA181" s="95"/>
      <c r="AB181" s="96"/>
      <c r="AC181" s="357"/>
      <c r="AD181" s="358"/>
      <c r="AE181" s="358"/>
      <c r="AF181" s="359"/>
      <c r="AI181" s="109" t="str">
        <f>"55:field164:" &amp; IF(I181="■",1,IF(L181="■",2,IF(O181="■",3,0)))</f>
        <v>55:field164:0</v>
      </c>
    </row>
    <row r="182" spans="1:35" s="109" customFormat="1" ht="18.75" customHeight="1" x14ac:dyDescent="0.15">
      <c r="A182" s="97"/>
      <c r="B182" s="98"/>
      <c r="C182" s="182"/>
      <c r="D182" s="183"/>
      <c r="E182" s="101"/>
      <c r="F182" s="102"/>
      <c r="G182" s="101"/>
      <c r="H182" s="177" t="s">
        <v>206</v>
      </c>
      <c r="I182" s="134" t="s">
        <v>184</v>
      </c>
      <c r="J182" s="135" t="s">
        <v>142</v>
      </c>
      <c r="K182" s="135"/>
      <c r="L182" s="138" t="s">
        <v>184</v>
      </c>
      <c r="M182" s="105" t="s">
        <v>150</v>
      </c>
      <c r="N182" s="135"/>
      <c r="O182" s="135"/>
      <c r="P182" s="135"/>
      <c r="Q182" s="136"/>
      <c r="R182" s="136"/>
      <c r="S182" s="136"/>
      <c r="T182" s="136"/>
      <c r="U182" s="136"/>
      <c r="V182" s="136"/>
      <c r="W182" s="136"/>
      <c r="X182" s="144"/>
      <c r="Y182" s="133"/>
      <c r="Z182" s="95"/>
      <c r="AA182" s="95"/>
      <c r="AB182" s="96"/>
      <c r="AC182" s="357"/>
      <c r="AD182" s="358"/>
      <c r="AE182" s="358"/>
      <c r="AF182" s="359"/>
      <c r="AI182" s="109" t="str">
        <f>"55:field226:" &amp; IF(I182="■",1,IF(L182="■",2,0))</f>
        <v>55:field226:0</v>
      </c>
    </row>
    <row r="183" spans="1:35" s="109" customFormat="1" ht="18.75" customHeight="1" x14ac:dyDescent="0.15">
      <c r="A183" s="97"/>
      <c r="B183" s="98"/>
      <c r="C183" s="182"/>
      <c r="D183" s="183"/>
      <c r="E183" s="101"/>
      <c r="F183" s="102"/>
      <c r="G183" s="101"/>
      <c r="H183" s="177" t="s">
        <v>207</v>
      </c>
      <c r="I183" s="134" t="s">
        <v>184</v>
      </c>
      <c r="J183" s="135" t="s">
        <v>142</v>
      </c>
      <c r="K183" s="135"/>
      <c r="L183" s="138" t="s">
        <v>184</v>
      </c>
      <c r="M183" s="105" t="s">
        <v>150</v>
      </c>
      <c r="N183" s="135"/>
      <c r="O183" s="135"/>
      <c r="P183" s="135"/>
      <c r="Q183" s="136"/>
      <c r="R183" s="136"/>
      <c r="S183" s="136"/>
      <c r="T183" s="136"/>
      <c r="U183" s="136"/>
      <c r="V183" s="136"/>
      <c r="W183" s="136"/>
      <c r="X183" s="144"/>
      <c r="Y183" s="133"/>
      <c r="Z183" s="95"/>
      <c r="AA183" s="95"/>
      <c r="AB183" s="96"/>
      <c r="AC183" s="357"/>
      <c r="AD183" s="358"/>
      <c r="AE183" s="358"/>
      <c r="AF183" s="359"/>
      <c r="AI183" s="109" t="str">
        <f>"55:field227:" &amp; IF(I183="■",1,IF(L183="■",2,0))</f>
        <v>55:field227:0</v>
      </c>
    </row>
    <row r="184" spans="1:35" s="109" customFormat="1" ht="18.75" customHeight="1" x14ac:dyDescent="0.15">
      <c r="A184" s="97"/>
      <c r="B184" s="98"/>
      <c r="C184" s="182"/>
      <c r="D184" s="183"/>
      <c r="E184" s="101"/>
      <c r="F184" s="102"/>
      <c r="G184" s="101"/>
      <c r="H184" s="184" t="s">
        <v>199</v>
      </c>
      <c r="I184" s="134" t="s">
        <v>184</v>
      </c>
      <c r="J184" s="135" t="s">
        <v>142</v>
      </c>
      <c r="K184" s="135"/>
      <c r="L184" s="138" t="s">
        <v>184</v>
      </c>
      <c r="M184" s="135" t="s">
        <v>143</v>
      </c>
      <c r="N184" s="135"/>
      <c r="O184" s="138" t="s">
        <v>184</v>
      </c>
      <c r="P184" s="135" t="s">
        <v>144</v>
      </c>
      <c r="Q184" s="140"/>
      <c r="R184" s="140"/>
      <c r="S184" s="140"/>
      <c r="T184" s="140"/>
      <c r="U184" s="185"/>
      <c r="V184" s="185"/>
      <c r="W184" s="185"/>
      <c r="X184" s="186"/>
      <c r="Y184" s="133"/>
      <c r="Z184" s="95"/>
      <c r="AA184" s="95"/>
      <c r="AB184" s="96"/>
      <c r="AC184" s="357"/>
      <c r="AD184" s="358"/>
      <c r="AE184" s="358"/>
      <c r="AF184" s="359"/>
      <c r="AI184" s="109" t="str">
        <f>"55:field225:" &amp; IF(I184="■",1,IF(L184="■",2,IF(O184="■",3,0)))</f>
        <v>55:field225:0</v>
      </c>
    </row>
    <row r="185" spans="1:35" s="109" customFormat="1" ht="18.75" customHeight="1" x14ac:dyDescent="0.15">
      <c r="A185" s="97"/>
      <c r="B185" s="98"/>
      <c r="C185" s="182"/>
      <c r="D185" s="183"/>
      <c r="E185" s="101"/>
      <c r="F185" s="102"/>
      <c r="G185" s="101"/>
      <c r="H185" s="177" t="s">
        <v>96</v>
      </c>
      <c r="I185" s="134" t="s">
        <v>184</v>
      </c>
      <c r="J185" s="135" t="s">
        <v>142</v>
      </c>
      <c r="K185" s="135"/>
      <c r="L185" s="138" t="s">
        <v>184</v>
      </c>
      <c r="M185" s="135" t="s">
        <v>146</v>
      </c>
      <c r="N185" s="135"/>
      <c r="O185" s="138" t="s">
        <v>184</v>
      </c>
      <c r="P185" s="135" t="s">
        <v>147</v>
      </c>
      <c r="Q185" s="166"/>
      <c r="R185" s="138" t="s">
        <v>184</v>
      </c>
      <c r="S185" s="135" t="s">
        <v>151</v>
      </c>
      <c r="T185" s="135"/>
      <c r="U185" s="135"/>
      <c r="V185" s="166"/>
      <c r="W185" s="166"/>
      <c r="X185" s="167"/>
      <c r="Y185" s="133"/>
      <c r="Z185" s="95"/>
      <c r="AA185" s="95"/>
      <c r="AB185" s="96"/>
      <c r="AC185" s="357"/>
      <c r="AD185" s="358"/>
      <c r="AE185" s="358"/>
      <c r="AF185" s="359"/>
      <c r="AI185" s="109" t="str">
        <f>"55:serteikyo_kyoka_code:" &amp; IF(I185="■",1,IF(L185="■",6,IF(O185="■",5,IF(R185="■",7,0))))</f>
        <v>55:serteikyo_kyoka_code:0</v>
      </c>
    </row>
    <row r="186" spans="1:35" s="109" customFormat="1" ht="18.75" customHeight="1" x14ac:dyDescent="0.15">
      <c r="A186" s="152"/>
      <c r="B186" s="153"/>
      <c r="C186" s="154"/>
      <c r="D186" s="155"/>
      <c r="E186" s="156"/>
      <c r="F186" s="157"/>
      <c r="G186" s="158"/>
      <c r="H186" s="85" t="s">
        <v>208</v>
      </c>
      <c r="I186" s="159" t="s">
        <v>184</v>
      </c>
      <c r="J186" s="86" t="s">
        <v>142</v>
      </c>
      <c r="K186" s="86"/>
      <c r="L186" s="160" t="s">
        <v>184</v>
      </c>
      <c r="M186" s="86" t="s">
        <v>195</v>
      </c>
      <c r="N186" s="87"/>
      <c r="O186" s="160" t="s">
        <v>184</v>
      </c>
      <c r="P186" s="89" t="s">
        <v>196</v>
      </c>
      <c r="Q186" s="88"/>
      <c r="R186" s="160" t="s">
        <v>184</v>
      </c>
      <c r="S186" s="86" t="s">
        <v>197</v>
      </c>
      <c r="T186" s="88"/>
      <c r="U186" s="160" t="s">
        <v>184</v>
      </c>
      <c r="V186" s="86" t="s">
        <v>198</v>
      </c>
      <c r="W186" s="90"/>
      <c r="X186" s="91"/>
      <c r="Y186" s="161"/>
      <c r="Z186" s="161"/>
      <c r="AA186" s="161"/>
      <c r="AB186" s="162"/>
      <c r="AC186" s="363"/>
      <c r="AD186" s="364"/>
      <c r="AE186" s="364"/>
      <c r="AF186" s="365"/>
      <c r="AI186" s="109" t="str">
        <f>"55:shoguukaizen_code:"&amp;IF(I186="■",1,IF(L186="■",7,IF(O186="■",8,IF(R186="■",9,IF(U186="■","A",0)))))</f>
        <v>55:shoguukaizen_code:0</v>
      </c>
    </row>
    <row r="187" spans="1:35" s="109" customFormat="1" ht="20.25" customHeight="1" x14ac:dyDescent="0.15">
      <c r="A187" s="92"/>
      <c r="B187" s="92"/>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sheetData>
  <mergeCells count="101">
    <mergeCell ref="M77:N78"/>
    <mergeCell ref="L54:L55"/>
    <mergeCell ref="H163:H164"/>
    <mergeCell ref="AC46:AF68"/>
    <mergeCell ref="J77:K78"/>
    <mergeCell ref="M54:N55"/>
    <mergeCell ref="AC69:AF92"/>
    <mergeCell ref="AC163:AF186"/>
    <mergeCell ref="H165:H166"/>
    <mergeCell ref="H172:H173"/>
    <mergeCell ref="I172:I173"/>
    <mergeCell ref="J172:K173"/>
    <mergeCell ref="L172:L173"/>
    <mergeCell ref="M172:N173"/>
    <mergeCell ref="I148:I149"/>
    <mergeCell ref="J148:K149"/>
    <mergeCell ref="L148:L149"/>
    <mergeCell ref="M148:O149"/>
    <mergeCell ref="P148:P149"/>
    <mergeCell ref="Q148:S149"/>
    <mergeCell ref="AC128:AF162"/>
    <mergeCell ref="H130:H131"/>
    <mergeCell ref="H137:H138"/>
    <mergeCell ref="I137:I138"/>
    <mergeCell ref="J137:K138"/>
    <mergeCell ref="L137:L138"/>
    <mergeCell ref="M137:N138"/>
    <mergeCell ref="H144:H145"/>
    <mergeCell ref="H146:H147"/>
    <mergeCell ref="H148:H149"/>
    <mergeCell ref="T148:T149"/>
    <mergeCell ref="U148:X149"/>
    <mergeCell ref="H128:H129"/>
    <mergeCell ref="H93:H94"/>
    <mergeCell ref="AC93:AF127"/>
    <mergeCell ref="H95:H96"/>
    <mergeCell ref="H102:H103"/>
    <mergeCell ref="I102:I103"/>
    <mergeCell ref="J102:K103"/>
    <mergeCell ref="L102:L103"/>
    <mergeCell ref="M102:N103"/>
    <mergeCell ref="M113:O114"/>
    <mergeCell ref="P113:P114"/>
    <mergeCell ref="Q113:S114"/>
    <mergeCell ref="T113:T114"/>
    <mergeCell ref="U113:X114"/>
    <mergeCell ref="H109:H110"/>
    <mergeCell ref="H111:H112"/>
    <mergeCell ref="H113:H114"/>
    <mergeCell ref="I113:I114"/>
    <mergeCell ref="J113:K114"/>
    <mergeCell ref="L113:L114"/>
    <mergeCell ref="L77:L78"/>
    <mergeCell ref="H48:H49"/>
    <mergeCell ref="H54:H55"/>
    <mergeCell ref="I54:I55"/>
    <mergeCell ref="J54:K55"/>
    <mergeCell ref="H31:H32"/>
    <mergeCell ref="I31:I32"/>
    <mergeCell ref="J31:K32"/>
    <mergeCell ref="L31:L32"/>
    <mergeCell ref="H46:H47"/>
    <mergeCell ref="H69:H70"/>
    <mergeCell ref="H71:H72"/>
    <mergeCell ref="H77:H78"/>
    <mergeCell ref="I77:I78"/>
    <mergeCell ref="A9:C10"/>
    <mergeCell ref="D9:E10"/>
    <mergeCell ref="F9:G10"/>
    <mergeCell ref="H9:H10"/>
    <mergeCell ref="Y9:AB10"/>
    <mergeCell ref="AC9:AF10"/>
    <mergeCell ref="M31:O32"/>
    <mergeCell ref="H11:H12"/>
    <mergeCell ref="AC11:AF45"/>
    <mergeCell ref="H13:H14"/>
    <mergeCell ref="H19:H20"/>
    <mergeCell ref="I19:I20"/>
    <mergeCell ref="J19:K20"/>
    <mergeCell ref="L19:L20"/>
    <mergeCell ref="M19:N20"/>
    <mergeCell ref="H27:H28"/>
    <mergeCell ref="H29:H30"/>
    <mergeCell ref="P31:P32"/>
    <mergeCell ref="Q31:S32"/>
    <mergeCell ref="T31:T32"/>
    <mergeCell ref="U31:X32"/>
    <mergeCell ref="A3:AF3"/>
    <mergeCell ref="A8:C8"/>
    <mergeCell ref="D8:E8"/>
    <mergeCell ref="F8:G8"/>
    <mergeCell ref="H8:X8"/>
    <mergeCell ref="Y8:AB8"/>
    <mergeCell ref="AC8:AF8"/>
    <mergeCell ref="I5:M5"/>
    <mergeCell ref="N5:W5"/>
    <mergeCell ref="X5:Z5"/>
    <mergeCell ref="AA5:AF5"/>
    <mergeCell ref="I6:M6"/>
    <mergeCell ref="N6:W6"/>
    <mergeCell ref="X6:Z6"/>
  </mergeCells>
  <phoneticPr fontId="1"/>
  <conditionalFormatting sqref="A1:AF4 A7:AF1048576">
    <cfRule type="expression" dxfId="7" priority="3">
      <formula>CELL("protect",A1)=0</formula>
    </cfRule>
  </conditionalFormatting>
  <dataValidations count="1">
    <dataValidation type="list" allowBlank="1" showInputMessage="1" showErrorMessage="1" sqref="F27:F29 U95 L172:L173 Q163 F109:F110 U13 L54:L55 T113:T114 Q111:Q112 T148:T149 M146 M174:M175 T31:T32 O61:O63 O116:O118 Y11:Y12 O151:O153 M56:M57 O179:O181 M111 Q146:Q147 U165 O160:O162 Y163:Y164 L82:L92 Y46:Y47 F174:F175 L24:L26 P27 Q13 O34:O36 P31:P32 L31:L45 Q46 Q48 U48 O66:O68 L102:L103 M104:M105 L106:L108 P109 P113:P114 L113:L127 Y93:Y94 O125:O127 Q128 Q130 U130 Y128:Y129 L137:L138 M139:M140 L141:L143 P144 L148:L162 P148:P149 R126:R127 Q165 M163:M171 R67:R68 U45:U46 U92:U93 D174 A174 M46:M53 D145 A145 M128:M136 D109 A109 D56 O43:O45 U127:U128 R162 U162:U163 R44:R45 M93:M101 A56 D28 A28 Q95 M29 Q29:Q30 Q93 O184:O186 R185:R186 L19:L20 M79:M81 U68:U69 L58:L68 L77:L78 O85:O87 F79 F56 Y69:Y70 Q69 Q71 U71 O90:O92 R91:R92 M69:M76 D79 A79 M21:M23 I9:I186 U186 Q9:Q11 U9:U11 M9:M18 L176:L186" xr:uid="{8BB28C27-191F-4C86-9028-693068D0D4A3}">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5" max="16383" man="1"/>
    <brk id="68" max="16383" man="1"/>
    <brk id="92" max="16383" man="1"/>
    <brk id="127" max="16383" man="1"/>
    <brk id="162" max="16383" man="1"/>
  </rowBreaks>
  <extLst>
    <ext xmlns:x14="http://schemas.microsoft.com/office/spreadsheetml/2009/9/main" uri="{78C0D931-6437-407d-A8EE-F0AAD7539E65}">
      <x14:conditionalFormattings>
        <x14:conditionalFormatting xmlns:xm="http://schemas.microsoft.com/office/excel/2006/main">
          <x14:cfRule type="expression" priority="2" id="{2D5ED528-AB1F-4854-B317-E2E4187AA4FE}">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1BB0C-BEDC-4CF9-94DD-CC2BB8564D6B}">
  <sheetPr>
    <pageSetUpPr fitToPage="1"/>
  </sheetPr>
  <dimension ref="A2:AL208"/>
  <sheetViews>
    <sheetView view="pageBreakPreview" zoomScale="70" zoomScaleNormal="75" zoomScaleSheetLayoutView="70" workbookViewId="0"/>
  </sheetViews>
  <sheetFormatPr defaultRowHeight="13.5" x14ac:dyDescent="0.15"/>
  <cols>
    <col min="1" max="2" width="4.25" style="203" customWidth="1"/>
    <col min="3" max="3" width="25" style="145" customWidth="1"/>
    <col min="4" max="4" width="4.875" style="145" customWidth="1"/>
    <col min="5" max="5" width="41.625" style="145" customWidth="1"/>
    <col min="6" max="6" width="4.875" style="145" customWidth="1"/>
    <col min="7" max="7" width="19.625" style="145" customWidth="1"/>
    <col min="8" max="8" width="33.875" style="145" customWidth="1"/>
    <col min="9" max="24" width="5.375" style="145" customWidth="1"/>
    <col min="25" max="32" width="4.875" style="145" customWidth="1"/>
    <col min="33" max="38" width="0" style="109" hidden="1" customWidth="1"/>
    <col min="39" max="16384" width="9" style="145"/>
  </cols>
  <sheetData>
    <row r="2" spans="1:38" ht="20.25" customHeight="1" x14ac:dyDescent="0.15">
      <c r="A2" s="107" t="s">
        <v>226</v>
      </c>
      <c r="B2" s="200"/>
    </row>
    <row r="3" spans="1:38" ht="21" customHeight="1" x14ac:dyDescent="0.15">
      <c r="A3" s="337" t="s">
        <v>26</v>
      </c>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row>
    <row r="4" spans="1:38" ht="20.25" customHeight="1" x14ac:dyDescent="0.15"/>
    <row r="5" spans="1:38" ht="27" customHeight="1" x14ac:dyDescent="0.15">
      <c r="I5" s="341" t="s">
        <v>227</v>
      </c>
      <c r="J5" s="341"/>
      <c r="K5" s="341"/>
      <c r="L5" s="341"/>
      <c r="M5" s="341"/>
      <c r="N5" s="341"/>
      <c r="O5" s="341"/>
      <c r="P5" s="341"/>
      <c r="Q5" s="341"/>
      <c r="R5" s="341"/>
      <c r="S5" s="341"/>
      <c r="T5" s="341"/>
      <c r="U5" s="341"/>
      <c r="V5" s="341"/>
      <c r="W5" s="341"/>
      <c r="X5" s="339" t="s">
        <v>82</v>
      </c>
      <c r="Y5" s="339"/>
      <c r="Z5" s="340"/>
      <c r="AA5" s="342" t="s">
        <v>228</v>
      </c>
      <c r="AB5" s="343"/>
      <c r="AC5" s="343"/>
      <c r="AD5" s="343"/>
      <c r="AE5" s="343"/>
      <c r="AF5" s="344"/>
      <c r="AG5" s="145"/>
      <c r="AH5" s="145"/>
      <c r="AI5" s="145"/>
      <c r="AJ5" s="145"/>
      <c r="AK5" s="145"/>
      <c r="AL5" s="145"/>
    </row>
    <row r="6" spans="1:38" ht="27.75" customHeight="1" x14ac:dyDescent="0.15">
      <c r="I6" s="341" t="s">
        <v>20</v>
      </c>
      <c r="J6" s="341"/>
      <c r="K6" s="341"/>
      <c r="L6" s="341"/>
      <c r="M6" s="341"/>
      <c r="N6" s="345" t="s">
        <v>229</v>
      </c>
      <c r="O6" s="345"/>
      <c r="P6" s="345"/>
      <c r="Q6" s="345"/>
      <c r="R6" s="345"/>
      <c r="S6" s="345"/>
      <c r="T6" s="345"/>
      <c r="U6" s="345"/>
      <c r="V6" s="345"/>
      <c r="W6" s="345"/>
      <c r="X6" s="341" t="s">
        <v>230</v>
      </c>
      <c r="Y6" s="341"/>
      <c r="Z6" s="341"/>
      <c r="AA6" s="110"/>
      <c r="AB6" s="111" t="s">
        <v>35</v>
      </c>
      <c r="AC6" s="111"/>
      <c r="AD6" s="111" t="s">
        <v>223</v>
      </c>
      <c r="AE6" s="111"/>
      <c r="AF6" s="112" t="s">
        <v>224</v>
      </c>
      <c r="AG6" s="145"/>
      <c r="AH6" s="145"/>
      <c r="AI6" s="145"/>
      <c r="AJ6" s="145"/>
      <c r="AK6" s="145"/>
      <c r="AL6" s="145"/>
    </row>
    <row r="7" spans="1:38" ht="20.25" customHeight="1" x14ac:dyDescent="0.15"/>
    <row r="8" spans="1:38" ht="17.25" customHeight="1" x14ac:dyDescent="0.15">
      <c r="A8" s="338" t="s">
        <v>128</v>
      </c>
      <c r="B8" s="339"/>
      <c r="C8" s="340"/>
      <c r="D8" s="338" t="s">
        <v>1</v>
      </c>
      <c r="E8" s="340"/>
      <c r="F8" s="338" t="s">
        <v>83</v>
      </c>
      <c r="G8" s="340"/>
      <c r="H8" s="338" t="s">
        <v>116</v>
      </c>
      <c r="I8" s="339"/>
      <c r="J8" s="339"/>
      <c r="K8" s="339"/>
      <c r="L8" s="339"/>
      <c r="M8" s="339"/>
      <c r="N8" s="339"/>
      <c r="O8" s="339"/>
      <c r="P8" s="339"/>
      <c r="Q8" s="339"/>
      <c r="R8" s="339"/>
      <c r="S8" s="339"/>
      <c r="T8" s="339"/>
      <c r="U8" s="339"/>
      <c r="V8" s="339"/>
      <c r="W8" s="339"/>
      <c r="X8" s="340"/>
      <c r="Y8" s="338" t="s">
        <v>132</v>
      </c>
      <c r="Z8" s="339"/>
      <c r="AA8" s="339"/>
      <c r="AB8" s="340"/>
      <c r="AC8" s="338" t="s">
        <v>84</v>
      </c>
      <c r="AD8" s="339"/>
      <c r="AE8" s="339"/>
      <c r="AF8" s="340"/>
    </row>
    <row r="9" spans="1:38" ht="18.75" customHeight="1" x14ac:dyDescent="0.15">
      <c r="A9" s="346" t="s">
        <v>85</v>
      </c>
      <c r="B9" s="347"/>
      <c r="C9" s="348"/>
      <c r="D9" s="346"/>
      <c r="E9" s="348"/>
      <c r="F9" s="346"/>
      <c r="G9" s="348"/>
      <c r="H9" s="352" t="s">
        <v>86</v>
      </c>
      <c r="I9" s="174" t="s">
        <v>184</v>
      </c>
      <c r="J9" s="114" t="s">
        <v>133</v>
      </c>
      <c r="K9" s="115"/>
      <c r="L9" s="115"/>
      <c r="M9" s="174" t="s">
        <v>184</v>
      </c>
      <c r="N9" s="114" t="s">
        <v>134</v>
      </c>
      <c r="O9" s="115"/>
      <c r="P9" s="115"/>
      <c r="Q9" s="174" t="s">
        <v>184</v>
      </c>
      <c r="R9" s="114" t="s">
        <v>135</v>
      </c>
      <c r="S9" s="115"/>
      <c r="T9" s="115"/>
      <c r="U9" s="174" t="s">
        <v>184</v>
      </c>
      <c r="V9" s="114" t="s">
        <v>136</v>
      </c>
      <c r="W9" s="115"/>
      <c r="X9" s="116"/>
      <c r="Y9" s="354"/>
      <c r="Z9" s="355"/>
      <c r="AA9" s="355"/>
      <c r="AB9" s="356"/>
      <c r="AC9" s="354"/>
      <c r="AD9" s="355"/>
      <c r="AE9" s="355"/>
      <c r="AF9" s="356"/>
      <c r="AG9" s="109" t="str">
        <f>"tiikikbn_code:"&amp; IF(I9="■",1,IF(M9="■",6,IF(Q9="■",7,IF(U9="■",2,IF(I10="■",3,IF(M10="■",4,IF(Q10="■",9,IF(U10="■",5,0))))))))</f>
        <v>tiikikbn_code:0</v>
      </c>
    </row>
    <row r="10" spans="1:38" ht="18.75" customHeight="1" x14ac:dyDescent="0.15">
      <c r="A10" s="349"/>
      <c r="B10" s="350"/>
      <c r="C10" s="351"/>
      <c r="D10" s="349"/>
      <c r="E10" s="351"/>
      <c r="F10" s="349"/>
      <c r="G10" s="351"/>
      <c r="H10" s="353"/>
      <c r="I10" s="173" t="s">
        <v>184</v>
      </c>
      <c r="J10" s="94" t="s">
        <v>137</v>
      </c>
      <c r="K10" s="118"/>
      <c r="L10" s="118"/>
      <c r="M10" s="174" t="s">
        <v>184</v>
      </c>
      <c r="N10" s="94" t="s">
        <v>138</v>
      </c>
      <c r="O10" s="118"/>
      <c r="P10" s="118"/>
      <c r="Q10" s="174" t="s">
        <v>184</v>
      </c>
      <c r="R10" s="94" t="s">
        <v>139</v>
      </c>
      <c r="S10" s="118"/>
      <c r="T10" s="118"/>
      <c r="U10" s="174" t="s">
        <v>184</v>
      </c>
      <c r="V10" s="94" t="s">
        <v>140</v>
      </c>
      <c r="W10" s="118"/>
      <c r="X10" s="101"/>
      <c r="Y10" s="357"/>
      <c r="Z10" s="358"/>
      <c r="AA10" s="358"/>
      <c r="AB10" s="359"/>
      <c r="AC10" s="357"/>
      <c r="AD10" s="358"/>
      <c r="AE10" s="358"/>
      <c r="AF10" s="359"/>
    </row>
    <row r="11" spans="1:38" s="226" customFormat="1" ht="19.5" customHeight="1" x14ac:dyDescent="0.15">
      <c r="A11" s="41"/>
      <c r="B11" s="214"/>
      <c r="C11" s="293"/>
      <c r="D11" s="6"/>
      <c r="E11" s="229"/>
      <c r="F11" s="217"/>
      <c r="G11" s="23"/>
      <c r="H11" s="326" t="s">
        <v>192</v>
      </c>
      <c r="I11" s="324" t="s">
        <v>184</v>
      </c>
      <c r="J11" s="298" t="s">
        <v>185</v>
      </c>
      <c r="K11" s="299"/>
      <c r="L11" s="309"/>
      <c r="M11" s="310" t="s">
        <v>184</v>
      </c>
      <c r="N11" s="298" t="s">
        <v>193</v>
      </c>
      <c r="O11" s="327"/>
      <c r="P11" s="298"/>
      <c r="Q11" s="300"/>
      <c r="R11" s="300"/>
      <c r="S11" s="300"/>
      <c r="T11" s="300"/>
      <c r="U11" s="300"/>
      <c r="V11" s="300"/>
      <c r="W11" s="300"/>
      <c r="X11" s="301"/>
      <c r="Y11" s="227" t="s">
        <v>184</v>
      </c>
      <c r="Z11" s="22" t="s">
        <v>141</v>
      </c>
      <c r="AA11" s="22"/>
      <c r="AB11" s="302"/>
      <c r="AC11" s="385"/>
      <c r="AD11" s="386"/>
      <c r="AE11" s="386"/>
      <c r="AF11" s="387"/>
      <c r="AG11" s="226" t="str">
        <f>"ser_code = '" &amp; IF(A17="■",14,"") &amp; "'"</f>
        <v>ser_code = ''</v>
      </c>
      <c r="AI11" s="226" t="str">
        <f>"14:field223:" &amp; IF(I11="■",1,IF(M11="■",2,0))</f>
        <v>14:field223:0</v>
      </c>
      <c r="AJ11" s="226" t="str">
        <f>"14:field203:" &amp; IF(Y11="■",1,IF(Y12="■",2,0))</f>
        <v>14:field203:0</v>
      </c>
    </row>
    <row r="12" spans="1:38" s="226" customFormat="1" ht="19.5" customHeight="1" x14ac:dyDescent="0.15">
      <c r="A12" s="237"/>
      <c r="B12" s="238"/>
      <c r="C12" s="239"/>
      <c r="D12" s="252"/>
      <c r="E12" s="240"/>
      <c r="F12" s="219"/>
      <c r="G12" s="241"/>
      <c r="H12" s="253" t="s">
        <v>201</v>
      </c>
      <c r="I12" s="254" t="s">
        <v>184</v>
      </c>
      <c r="J12" s="255" t="s">
        <v>185</v>
      </c>
      <c r="K12" s="256"/>
      <c r="L12" s="257"/>
      <c r="M12" s="258" t="s">
        <v>184</v>
      </c>
      <c r="N12" s="255" t="s">
        <v>193</v>
      </c>
      <c r="O12" s="259"/>
      <c r="P12" s="255"/>
      <c r="Q12" s="260"/>
      <c r="R12" s="260"/>
      <c r="S12" s="260"/>
      <c r="T12" s="260"/>
      <c r="U12" s="260"/>
      <c r="V12" s="260"/>
      <c r="W12" s="260"/>
      <c r="X12" s="261"/>
      <c r="Y12" s="250" t="s">
        <v>184</v>
      </c>
      <c r="Z12" s="2" t="s">
        <v>145</v>
      </c>
      <c r="AA12" s="262"/>
      <c r="AB12" s="251"/>
      <c r="AC12" s="388"/>
      <c r="AD12" s="389"/>
      <c r="AE12" s="389"/>
      <c r="AF12" s="390"/>
      <c r="AG12" s="226" t="str">
        <f>"14:sisetukbn_code:" &amp; IF(D16="■",1,IF(D17="■",2,IF(D18="■",3,0)))</f>
        <v>14:sisetukbn_code:0</v>
      </c>
      <c r="AI12" s="226" t="str">
        <f>"14:field232:" &amp; IF(I12="■",1,IF(M12="■",2,0))</f>
        <v>14:field232:0</v>
      </c>
    </row>
    <row r="13" spans="1:38" s="226" customFormat="1" ht="19.5" customHeight="1" x14ac:dyDescent="0.15">
      <c r="A13" s="237"/>
      <c r="B13" s="238"/>
      <c r="C13" s="239"/>
      <c r="D13" s="252"/>
      <c r="E13" s="240"/>
      <c r="F13" s="219"/>
      <c r="G13" s="241"/>
      <c r="H13" s="263" t="s">
        <v>235</v>
      </c>
      <c r="I13" s="268" t="s">
        <v>184</v>
      </c>
      <c r="J13" s="244" t="s">
        <v>142</v>
      </c>
      <c r="K13" s="245"/>
      <c r="L13" s="250" t="s">
        <v>184</v>
      </c>
      <c r="M13" s="244" t="s">
        <v>150</v>
      </c>
      <c r="N13" s="244"/>
      <c r="O13" s="244"/>
      <c r="P13" s="244"/>
      <c r="Q13" s="248"/>
      <c r="R13" s="248"/>
      <c r="S13" s="248"/>
      <c r="T13" s="248"/>
      <c r="U13" s="248"/>
      <c r="V13" s="248"/>
      <c r="W13" s="248"/>
      <c r="X13" s="249"/>
      <c r="Y13" s="1"/>
      <c r="Z13" s="2"/>
      <c r="AA13" s="262"/>
      <c r="AB13" s="251"/>
      <c r="AC13" s="388"/>
      <c r="AD13" s="389"/>
      <c r="AE13" s="389"/>
      <c r="AF13" s="390"/>
      <c r="AI13" s="226" t="str">
        <f>"14:tokutiiki_code:" &amp; IF(I13="■",1,IF(L13="■",2,0))</f>
        <v>14:tokutiiki_code:0</v>
      </c>
    </row>
    <row r="14" spans="1:38" s="226" customFormat="1" ht="18.75" customHeight="1" x14ac:dyDescent="0.15">
      <c r="A14" s="237"/>
      <c r="B14" s="238"/>
      <c r="C14" s="239"/>
      <c r="D14" s="252"/>
      <c r="E14" s="240"/>
      <c r="F14" s="219"/>
      <c r="G14" s="241"/>
      <c r="H14" s="402" t="s">
        <v>236</v>
      </c>
      <c r="I14" s="403" t="s">
        <v>184</v>
      </c>
      <c r="J14" s="375" t="s">
        <v>237</v>
      </c>
      <c r="K14" s="375"/>
      <c r="L14" s="375"/>
      <c r="M14" s="405" t="s">
        <v>184</v>
      </c>
      <c r="N14" s="375" t="s">
        <v>238</v>
      </c>
      <c r="O14" s="375"/>
      <c r="P14" s="375"/>
      <c r="Q14" s="264"/>
      <c r="R14" s="264"/>
      <c r="S14" s="264"/>
      <c r="T14" s="264"/>
      <c r="U14" s="264"/>
      <c r="V14" s="264"/>
      <c r="W14" s="264"/>
      <c r="X14" s="265"/>
      <c r="Y14" s="1"/>
      <c r="Z14" s="1"/>
      <c r="AA14" s="1"/>
      <c r="AB14" s="251"/>
      <c r="AC14" s="388"/>
      <c r="AD14" s="389"/>
      <c r="AE14" s="389"/>
      <c r="AF14" s="390"/>
      <c r="AI14" s="226" t="str">
        <f>"14:chuusankanti_tiiki_code:" &amp; IF(I14="■",1,IF(M14="■",2,0))</f>
        <v>14:chuusankanti_tiiki_code:0</v>
      </c>
    </row>
    <row r="15" spans="1:38" s="226" customFormat="1" ht="18.75" customHeight="1" x14ac:dyDescent="0.15">
      <c r="A15" s="237"/>
      <c r="B15" s="238"/>
      <c r="C15" s="239"/>
      <c r="D15" s="252"/>
      <c r="E15" s="240"/>
      <c r="F15" s="219"/>
      <c r="G15" s="241"/>
      <c r="H15" s="382"/>
      <c r="I15" s="404"/>
      <c r="J15" s="377"/>
      <c r="K15" s="377"/>
      <c r="L15" s="377"/>
      <c r="M15" s="406"/>
      <c r="N15" s="377"/>
      <c r="O15" s="377"/>
      <c r="P15" s="377"/>
      <c r="Q15" s="248"/>
      <c r="R15" s="248"/>
      <c r="S15" s="248"/>
      <c r="T15" s="248"/>
      <c r="U15" s="248"/>
      <c r="V15" s="248"/>
      <c r="W15" s="248"/>
      <c r="X15" s="249"/>
      <c r="Y15" s="267"/>
      <c r="Z15" s="262"/>
      <c r="AA15" s="262"/>
      <c r="AB15" s="251"/>
      <c r="AC15" s="388"/>
      <c r="AD15" s="389"/>
      <c r="AE15" s="389"/>
      <c r="AF15" s="390"/>
    </row>
    <row r="16" spans="1:38" s="226" customFormat="1" ht="18.75" customHeight="1" x14ac:dyDescent="0.15">
      <c r="A16" s="237"/>
      <c r="B16" s="238"/>
      <c r="C16" s="239"/>
      <c r="D16" s="250" t="s">
        <v>184</v>
      </c>
      <c r="E16" s="240" t="s">
        <v>261</v>
      </c>
      <c r="F16" s="219"/>
      <c r="G16" s="241"/>
      <c r="H16" s="402" t="s">
        <v>239</v>
      </c>
      <c r="I16" s="403" t="s">
        <v>184</v>
      </c>
      <c r="J16" s="375" t="s">
        <v>237</v>
      </c>
      <c r="K16" s="375"/>
      <c r="L16" s="375"/>
      <c r="M16" s="405" t="s">
        <v>184</v>
      </c>
      <c r="N16" s="375" t="s">
        <v>238</v>
      </c>
      <c r="O16" s="375"/>
      <c r="P16" s="375"/>
      <c r="Q16" s="264"/>
      <c r="R16" s="264"/>
      <c r="S16" s="264"/>
      <c r="T16" s="264"/>
      <c r="U16" s="264"/>
      <c r="V16" s="264"/>
      <c r="W16" s="264"/>
      <c r="X16" s="265"/>
      <c r="Y16" s="267"/>
      <c r="Z16" s="262"/>
      <c r="AA16" s="262"/>
      <c r="AB16" s="251"/>
      <c r="AC16" s="388"/>
      <c r="AD16" s="389"/>
      <c r="AE16" s="389"/>
      <c r="AF16" s="390"/>
      <c r="AI16" s="226" t="str">
        <f>"14:chuusankanti_kibo_code:" &amp; IF(I16="■",1,IF(M16="■",2,0))</f>
        <v>14:chuusankanti_kibo_code:0</v>
      </c>
    </row>
    <row r="17" spans="1:36" s="226" customFormat="1" ht="18.75" customHeight="1" x14ac:dyDescent="0.15">
      <c r="A17" s="268" t="s">
        <v>184</v>
      </c>
      <c r="B17" s="238">
        <v>14</v>
      </c>
      <c r="C17" s="239" t="s">
        <v>262</v>
      </c>
      <c r="D17" s="250" t="s">
        <v>184</v>
      </c>
      <c r="E17" s="240" t="s">
        <v>245</v>
      </c>
      <c r="F17" s="219"/>
      <c r="G17" s="241"/>
      <c r="H17" s="382"/>
      <c r="I17" s="404"/>
      <c r="J17" s="377"/>
      <c r="K17" s="377"/>
      <c r="L17" s="377"/>
      <c r="M17" s="406"/>
      <c r="N17" s="377"/>
      <c r="O17" s="377"/>
      <c r="P17" s="377"/>
      <c r="Q17" s="248"/>
      <c r="R17" s="248"/>
      <c r="S17" s="248"/>
      <c r="T17" s="248"/>
      <c r="U17" s="248"/>
      <c r="V17" s="248"/>
      <c r="W17" s="248"/>
      <c r="X17" s="249"/>
      <c r="Y17" s="267"/>
      <c r="Z17" s="262"/>
      <c r="AA17" s="262"/>
      <c r="AB17" s="251"/>
      <c r="AC17" s="388"/>
      <c r="AD17" s="389"/>
      <c r="AE17" s="389"/>
      <c r="AF17" s="390"/>
    </row>
    <row r="18" spans="1:36" s="226" customFormat="1" ht="19.5" customHeight="1" x14ac:dyDescent="0.15">
      <c r="A18" s="237"/>
      <c r="B18" s="238"/>
      <c r="C18" s="239"/>
      <c r="D18" s="250" t="s">
        <v>184</v>
      </c>
      <c r="E18" s="240" t="s">
        <v>263</v>
      </c>
      <c r="F18" s="219"/>
      <c r="G18" s="241"/>
      <c r="H18" s="306" t="s">
        <v>264</v>
      </c>
      <c r="I18" s="284" t="s">
        <v>184</v>
      </c>
      <c r="J18" s="286" t="s">
        <v>142</v>
      </c>
      <c r="K18" s="286"/>
      <c r="L18" s="321"/>
      <c r="M18" s="285" t="s">
        <v>184</v>
      </c>
      <c r="N18" s="286" t="s">
        <v>265</v>
      </c>
      <c r="O18" s="328"/>
      <c r="P18" s="329"/>
      <c r="Q18" s="330" t="s">
        <v>184</v>
      </c>
      <c r="R18" s="331" t="s">
        <v>266</v>
      </c>
      <c r="S18" s="331"/>
      <c r="T18" s="331"/>
      <c r="U18" s="332"/>
      <c r="V18" s="331"/>
      <c r="W18" s="331"/>
      <c r="X18" s="333"/>
      <c r="Y18" s="267"/>
      <c r="Z18" s="262"/>
      <c r="AA18" s="262"/>
      <c r="AB18" s="251"/>
      <c r="AC18" s="388"/>
      <c r="AD18" s="389"/>
      <c r="AE18" s="389"/>
      <c r="AF18" s="390"/>
      <c r="AI18" s="226" t="str">
        <f>"14:field149:" &amp; IF(I18="■",1,IF(Q18="■",6,IF(M18="■",3,0)))</f>
        <v>14:field149:0</v>
      </c>
    </row>
    <row r="19" spans="1:36" s="226" customFormat="1" ht="19.5" customHeight="1" x14ac:dyDescent="0.15">
      <c r="A19" s="237"/>
      <c r="B19" s="238"/>
      <c r="C19" s="239"/>
      <c r="D19" s="319"/>
      <c r="E19" s="240"/>
      <c r="F19" s="219"/>
      <c r="G19" s="241"/>
      <c r="H19" s="402" t="s">
        <v>267</v>
      </c>
      <c r="I19" s="401" t="s">
        <v>184</v>
      </c>
      <c r="J19" s="375" t="s">
        <v>142</v>
      </c>
      <c r="K19" s="375"/>
      <c r="L19" s="378" t="s">
        <v>184</v>
      </c>
      <c r="M19" s="375" t="s">
        <v>150</v>
      </c>
      <c r="N19" s="375"/>
      <c r="O19" s="2"/>
      <c r="P19" s="212"/>
      <c r="Q19" s="212"/>
      <c r="R19" s="212"/>
      <c r="S19" s="1"/>
      <c r="T19" s="1"/>
      <c r="U19" s="212"/>
      <c r="V19" s="212"/>
      <c r="W19" s="1"/>
      <c r="X19" s="303"/>
      <c r="Y19" s="267"/>
      <c r="Z19" s="262"/>
      <c r="AA19" s="262"/>
      <c r="AB19" s="251"/>
      <c r="AC19" s="388"/>
      <c r="AD19" s="389"/>
      <c r="AE19" s="389"/>
      <c r="AF19" s="390"/>
      <c r="AI19" s="226" t="str">
        <f>"14:field239:" &amp; IF(I19="■",1,IF(L19="■",2,0))</f>
        <v>14:field239:0</v>
      </c>
    </row>
    <row r="20" spans="1:36" s="226" customFormat="1" ht="19.5" customHeight="1" x14ac:dyDescent="0.15">
      <c r="A20" s="237"/>
      <c r="B20" s="238"/>
      <c r="C20" s="239"/>
      <c r="D20" s="319"/>
      <c r="E20" s="240"/>
      <c r="F20" s="219"/>
      <c r="G20" s="241"/>
      <c r="H20" s="382"/>
      <c r="I20" s="384"/>
      <c r="J20" s="377"/>
      <c r="K20" s="377"/>
      <c r="L20" s="380"/>
      <c r="M20" s="377"/>
      <c r="N20" s="377"/>
      <c r="O20" s="2"/>
      <c r="P20" s="212"/>
      <c r="Q20" s="316"/>
      <c r="R20" s="316"/>
      <c r="S20" s="1"/>
      <c r="T20" s="1"/>
      <c r="U20" s="316"/>
      <c r="V20" s="316"/>
      <c r="W20" s="1"/>
      <c r="X20" s="303"/>
      <c r="Y20" s="267"/>
      <c r="Z20" s="262"/>
      <c r="AA20" s="262"/>
      <c r="AB20" s="251"/>
      <c r="AC20" s="388"/>
      <c r="AD20" s="389"/>
      <c r="AE20" s="389"/>
      <c r="AF20" s="390"/>
    </row>
    <row r="21" spans="1:36" s="226" customFormat="1" ht="19.5" customHeight="1" x14ac:dyDescent="0.15">
      <c r="A21" s="237"/>
      <c r="B21" s="238"/>
      <c r="C21" s="239"/>
      <c r="D21" s="252"/>
      <c r="E21" s="240"/>
      <c r="F21" s="219"/>
      <c r="G21" s="241"/>
      <c r="H21" s="253" t="s">
        <v>194</v>
      </c>
      <c r="I21" s="254" t="s">
        <v>184</v>
      </c>
      <c r="J21" s="255" t="s">
        <v>142</v>
      </c>
      <c r="K21" s="255"/>
      <c r="L21" s="258" t="s">
        <v>184</v>
      </c>
      <c r="M21" s="255" t="s">
        <v>150</v>
      </c>
      <c r="N21" s="255"/>
      <c r="O21" s="260"/>
      <c r="P21" s="255"/>
      <c r="Q21" s="260"/>
      <c r="R21" s="260"/>
      <c r="S21" s="260"/>
      <c r="T21" s="260"/>
      <c r="U21" s="260"/>
      <c r="V21" s="260"/>
      <c r="W21" s="260"/>
      <c r="X21" s="261"/>
      <c r="Y21" s="262"/>
      <c r="Z21" s="262"/>
      <c r="AA21" s="262"/>
      <c r="AB21" s="251"/>
      <c r="AC21" s="388"/>
      <c r="AD21" s="389"/>
      <c r="AE21" s="389"/>
      <c r="AF21" s="390"/>
      <c r="AI21" s="226" t="str">
        <f>"14:field224:" &amp; IF(I21="■",1,IF(L21="■",2,0))</f>
        <v>14:field224:0</v>
      </c>
    </row>
    <row r="22" spans="1:36" s="226" customFormat="1" ht="19.5" customHeight="1" x14ac:dyDescent="0.15">
      <c r="A22" s="237"/>
      <c r="B22" s="238"/>
      <c r="C22" s="239"/>
      <c r="D22" s="252"/>
      <c r="E22" s="240"/>
      <c r="F22" s="219"/>
      <c r="G22" s="241"/>
      <c r="H22" s="287" t="s">
        <v>268</v>
      </c>
      <c r="I22" s="284" t="s">
        <v>184</v>
      </c>
      <c r="J22" s="255" t="s">
        <v>142</v>
      </c>
      <c r="K22" s="256"/>
      <c r="L22" s="258" t="s">
        <v>184</v>
      </c>
      <c r="M22" s="255" t="s">
        <v>150</v>
      </c>
      <c r="N22" s="255"/>
      <c r="O22" s="260"/>
      <c r="P22" s="260"/>
      <c r="Q22" s="260"/>
      <c r="R22" s="260"/>
      <c r="S22" s="260"/>
      <c r="T22" s="260"/>
      <c r="U22" s="260"/>
      <c r="V22" s="260"/>
      <c r="W22" s="260"/>
      <c r="X22" s="261"/>
      <c r="Y22" s="267"/>
      <c r="Z22" s="262"/>
      <c r="AA22" s="262"/>
      <c r="AB22" s="251"/>
      <c r="AC22" s="388"/>
      <c r="AD22" s="389"/>
      <c r="AE22" s="389"/>
      <c r="AF22" s="390"/>
      <c r="AI22" s="226" t="str">
        <f>"14:field150:" &amp; IF(I22="■",1,IF(L22="■",2,0))</f>
        <v>14:field150:0</v>
      </c>
    </row>
    <row r="23" spans="1:36" s="226" customFormat="1" ht="19.5" customHeight="1" x14ac:dyDescent="0.15">
      <c r="A23" s="271"/>
      <c r="B23" s="216"/>
      <c r="C23" s="272"/>
      <c r="D23" s="231"/>
      <c r="E23" s="236"/>
      <c r="F23" s="220"/>
      <c r="G23" s="273"/>
      <c r="H23" s="274" t="s">
        <v>269</v>
      </c>
      <c r="I23" s="275" t="s">
        <v>184</v>
      </c>
      <c r="J23" s="43" t="s">
        <v>142</v>
      </c>
      <c r="K23" s="43"/>
      <c r="L23" s="276" t="s">
        <v>184</v>
      </c>
      <c r="M23" s="43" t="s">
        <v>240</v>
      </c>
      <c r="N23" s="43"/>
      <c r="O23" s="276" t="s">
        <v>184</v>
      </c>
      <c r="P23" s="43" t="s">
        <v>241</v>
      </c>
      <c r="Q23" s="279"/>
      <c r="R23" s="279"/>
      <c r="S23" s="279"/>
      <c r="T23" s="279"/>
      <c r="U23" s="279"/>
      <c r="V23" s="279"/>
      <c r="W23" s="279"/>
      <c r="X23" s="280"/>
      <c r="Y23" s="283"/>
      <c r="Z23" s="281"/>
      <c r="AA23" s="281"/>
      <c r="AB23" s="282"/>
      <c r="AC23" s="391"/>
      <c r="AD23" s="392"/>
      <c r="AE23" s="392"/>
      <c r="AF23" s="393"/>
      <c r="AI23" s="226" t="str">
        <f>"14:serteikyo_kyoka_code:" &amp; IF(I23="■",1,IF(L23="■",3,IF(O23="■",4,0)))</f>
        <v>14:serteikyo_kyoka_code:0</v>
      </c>
    </row>
    <row r="24" spans="1:36" s="226" customFormat="1" ht="18.75" customHeight="1" x14ac:dyDescent="0.15">
      <c r="A24" s="41"/>
      <c r="B24" s="214"/>
      <c r="C24" s="293"/>
      <c r="D24" s="6"/>
      <c r="E24" s="229"/>
      <c r="F24" s="6"/>
      <c r="G24" s="4"/>
      <c r="H24" s="394" t="s">
        <v>117</v>
      </c>
      <c r="I24" s="297" t="s">
        <v>184</v>
      </c>
      <c r="J24" s="22" t="s">
        <v>142</v>
      </c>
      <c r="K24" s="22"/>
      <c r="L24" s="218"/>
      <c r="M24" s="227" t="s">
        <v>184</v>
      </c>
      <c r="N24" s="22" t="s">
        <v>152</v>
      </c>
      <c r="O24" s="22"/>
      <c r="P24" s="218"/>
      <c r="Q24" s="227" t="s">
        <v>184</v>
      </c>
      <c r="R24" s="7" t="s">
        <v>249</v>
      </c>
      <c r="S24" s="7"/>
      <c r="T24" s="7"/>
      <c r="U24" s="227" t="s">
        <v>184</v>
      </c>
      <c r="V24" s="7" t="s">
        <v>250</v>
      </c>
      <c r="W24" s="7"/>
      <c r="X24" s="4"/>
      <c r="Y24" s="297" t="s">
        <v>184</v>
      </c>
      <c r="Z24" s="22" t="s">
        <v>141</v>
      </c>
      <c r="AA24" s="22"/>
      <c r="AB24" s="302"/>
      <c r="AC24" s="396"/>
      <c r="AD24" s="396"/>
      <c r="AE24" s="396"/>
      <c r="AF24" s="396"/>
      <c r="AG24" s="226" t="str">
        <f>"ser_code = '" &amp; IF(A35="■",16,"") &amp; "'"</f>
        <v>ser_code = ''</v>
      </c>
      <c r="AI24" s="226" t="str">
        <f>"16:"&amp;IF(AND(I24="□",M24="□",Q24="□",U24="□",I25="□",M25="□",Q25="□"),"ketu_doctor_code:0",IF(I24="■","ketu_doctor_code:1:ketu_kangos_code:1:ketu_kshoku_code:1:ketu_rryoho_code:1:ketu_sryoho_code:1:ketu_gengo_code:1",
IF(M24="■","ketu_doctor_code:2","ketu_doctor_code:1")
&amp;IF(Q24="■",":ketu_kangos_code:2",":ketu_kangos_code:1")
&amp;IF(U24="■",":ketu_kshoku_code:2",":ketu_kshoku_code:1")
&amp;IF(I25="■",":ketu_rryoho_code:2",":ketu_rryoho_code:1")
&amp;IF(M25="■",":ketu_sryoho_code:2",":ketu_sryoho_code:1")
&amp;IF(Q25="■",":ketu_gengo_code:2",":ketu_gengo_code:1")))</f>
        <v>16:ketu_doctor_code:0</v>
      </c>
      <c r="AJ24" s="226" t="str">
        <f>"16:field203:" &amp; IF(Y24="■",1,IF(Y25="■",2,0))</f>
        <v>16:field203:0</v>
      </c>
    </row>
    <row r="25" spans="1:36" s="226" customFormat="1" ht="18.75" customHeight="1" x14ac:dyDescent="0.15">
      <c r="A25" s="237"/>
      <c r="B25" s="238"/>
      <c r="C25" s="239"/>
      <c r="D25" s="252"/>
      <c r="E25" s="240"/>
      <c r="F25" s="252"/>
      <c r="G25" s="303"/>
      <c r="H25" s="395"/>
      <c r="I25" s="250" t="s">
        <v>184</v>
      </c>
      <c r="J25" s="244" t="s">
        <v>251</v>
      </c>
      <c r="K25" s="316"/>
      <c r="L25" s="316"/>
      <c r="M25" s="250" t="s">
        <v>184</v>
      </c>
      <c r="N25" s="244" t="s">
        <v>252</v>
      </c>
      <c r="O25" s="316"/>
      <c r="P25" s="316"/>
      <c r="Q25" s="250" t="s">
        <v>184</v>
      </c>
      <c r="R25" s="244" t="s">
        <v>253</v>
      </c>
      <c r="S25" s="316"/>
      <c r="T25" s="316"/>
      <c r="U25" s="316"/>
      <c r="V25" s="316"/>
      <c r="W25" s="316"/>
      <c r="X25" s="317"/>
      <c r="Y25" s="250" t="s">
        <v>184</v>
      </c>
      <c r="Z25" s="2" t="s">
        <v>145</v>
      </c>
      <c r="AA25" s="262"/>
      <c r="AB25" s="251"/>
      <c r="AC25" s="397"/>
      <c r="AD25" s="397"/>
      <c r="AE25" s="397"/>
      <c r="AF25" s="397"/>
      <c r="AG25" s="226" t="str">
        <f>"16:sisetukbn_code:" &amp; IF(D31="■",4,IF(D32="■",7,IF(D33="■","A",IF(D34="■","D",IF(D35="■","E",IF(D36="■","F",IF(D37="■","G",IF(D38="■","H",IF(D39="■","J",0)))))))))</f>
        <v>16:sisetukbn_code:0</v>
      </c>
    </row>
    <row r="26" spans="1:36" s="226" customFormat="1" ht="19.5" customHeight="1" x14ac:dyDescent="0.15">
      <c r="A26" s="237"/>
      <c r="B26" s="238"/>
      <c r="C26" s="239"/>
      <c r="D26" s="252"/>
      <c r="E26" s="240"/>
      <c r="F26" s="219"/>
      <c r="G26" s="241"/>
      <c r="H26" s="253" t="s">
        <v>192</v>
      </c>
      <c r="I26" s="254" t="s">
        <v>184</v>
      </c>
      <c r="J26" s="255" t="s">
        <v>185</v>
      </c>
      <c r="K26" s="256"/>
      <c r="L26" s="257"/>
      <c r="M26" s="258" t="s">
        <v>184</v>
      </c>
      <c r="N26" s="255" t="s">
        <v>193</v>
      </c>
      <c r="O26" s="259"/>
      <c r="P26" s="255"/>
      <c r="Q26" s="260"/>
      <c r="R26" s="260"/>
      <c r="S26" s="260"/>
      <c r="T26" s="260"/>
      <c r="U26" s="260"/>
      <c r="V26" s="260"/>
      <c r="W26" s="260"/>
      <c r="X26" s="261"/>
      <c r="Y26" s="262"/>
      <c r="Z26" s="262"/>
      <c r="AA26" s="262"/>
      <c r="AB26" s="251"/>
      <c r="AC26" s="397"/>
      <c r="AD26" s="397"/>
      <c r="AE26" s="397"/>
      <c r="AF26" s="397"/>
      <c r="AI26" s="226" t="str">
        <f>"16:field223:" &amp; IF(I26="■",1,IF(M26="■",2,0))</f>
        <v>16:field223:0</v>
      </c>
    </row>
    <row r="27" spans="1:36" s="226" customFormat="1" ht="19.5" customHeight="1" x14ac:dyDescent="0.15">
      <c r="A27" s="237"/>
      <c r="B27" s="238"/>
      <c r="C27" s="239"/>
      <c r="D27" s="252"/>
      <c r="E27" s="240"/>
      <c r="F27" s="219"/>
      <c r="G27" s="241"/>
      <c r="H27" s="253" t="s">
        <v>201</v>
      </c>
      <c r="I27" s="254" t="s">
        <v>184</v>
      </c>
      <c r="J27" s="255" t="s">
        <v>185</v>
      </c>
      <c r="K27" s="256"/>
      <c r="L27" s="257"/>
      <c r="M27" s="258" t="s">
        <v>184</v>
      </c>
      <c r="N27" s="255" t="s">
        <v>193</v>
      </c>
      <c r="O27" s="259"/>
      <c r="P27" s="255"/>
      <c r="Q27" s="260"/>
      <c r="R27" s="260"/>
      <c r="S27" s="260"/>
      <c r="T27" s="260"/>
      <c r="U27" s="260"/>
      <c r="V27" s="260"/>
      <c r="W27" s="260"/>
      <c r="X27" s="261"/>
      <c r="Y27" s="262"/>
      <c r="Z27" s="262"/>
      <c r="AA27" s="262"/>
      <c r="AB27" s="251"/>
      <c r="AC27" s="397"/>
      <c r="AD27" s="397"/>
      <c r="AE27" s="397"/>
      <c r="AF27" s="397"/>
      <c r="AI27" s="226" t="str">
        <f>"16:field232:" &amp; IF(I27="■",1,IF(M27="■",2,0))</f>
        <v>16:field232:0</v>
      </c>
    </row>
    <row r="28" spans="1:36" s="226" customFormat="1" ht="18.75" customHeight="1" x14ac:dyDescent="0.15">
      <c r="A28" s="237"/>
      <c r="B28" s="238"/>
      <c r="C28" s="239"/>
      <c r="D28" s="252"/>
      <c r="E28" s="240"/>
      <c r="F28" s="252"/>
      <c r="G28" s="303"/>
      <c r="H28" s="400" t="s">
        <v>270</v>
      </c>
      <c r="I28" s="401" t="s">
        <v>184</v>
      </c>
      <c r="J28" s="375" t="s">
        <v>142</v>
      </c>
      <c r="K28" s="375"/>
      <c r="L28" s="378" t="s">
        <v>184</v>
      </c>
      <c r="M28" s="375" t="s">
        <v>150</v>
      </c>
      <c r="N28" s="375"/>
      <c r="O28" s="322"/>
      <c r="P28" s="322"/>
      <c r="Q28" s="322"/>
      <c r="R28" s="322"/>
      <c r="S28" s="322"/>
      <c r="T28" s="322"/>
      <c r="U28" s="322"/>
      <c r="V28" s="322"/>
      <c r="W28" s="322"/>
      <c r="X28" s="323"/>
      <c r="Y28" s="267"/>
      <c r="Z28" s="262"/>
      <c r="AA28" s="262"/>
      <c r="AB28" s="251"/>
      <c r="AC28" s="398"/>
      <c r="AD28" s="398"/>
      <c r="AE28" s="398"/>
      <c r="AF28" s="398"/>
      <c r="AI28" s="226" t="str">
        <f>"16:field204:" &amp; IF(I28="■",1,IF(L28="■",2,0))</f>
        <v>16:field204:0</v>
      </c>
    </row>
    <row r="29" spans="1:36" s="226" customFormat="1" ht="18.75" customHeight="1" x14ac:dyDescent="0.15">
      <c r="A29" s="237"/>
      <c r="B29" s="238"/>
      <c r="C29" s="239"/>
      <c r="D29" s="252"/>
      <c r="E29" s="240"/>
      <c r="F29" s="252"/>
      <c r="G29" s="303"/>
      <c r="H29" s="400"/>
      <c r="I29" s="383"/>
      <c r="J29" s="376"/>
      <c r="K29" s="376"/>
      <c r="L29" s="379"/>
      <c r="M29" s="376"/>
      <c r="N29" s="376"/>
      <c r="O29" s="1"/>
      <c r="P29" s="1"/>
      <c r="Q29" s="1"/>
      <c r="R29" s="1"/>
      <c r="S29" s="1"/>
      <c r="T29" s="1"/>
      <c r="U29" s="1"/>
      <c r="V29" s="1"/>
      <c r="W29" s="1"/>
      <c r="X29" s="303"/>
      <c r="Y29" s="267"/>
      <c r="Z29" s="262"/>
      <c r="AA29" s="262"/>
      <c r="AB29" s="251"/>
      <c r="AC29" s="398"/>
      <c r="AD29" s="398"/>
      <c r="AE29" s="398"/>
      <c r="AF29" s="398"/>
    </row>
    <row r="30" spans="1:36" s="226" customFormat="1" ht="18.75" customHeight="1" x14ac:dyDescent="0.15">
      <c r="A30" s="237"/>
      <c r="B30" s="238"/>
      <c r="C30" s="239"/>
      <c r="D30" s="252"/>
      <c r="E30" s="240"/>
      <c r="F30" s="252"/>
      <c r="G30" s="303"/>
      <c r="H30" s="400"/>
      <c r="I30" s="384"/>
      <c r="J30" s="377"/>
      <c r="K30" s="377"/>
      <c r="L30" s="380"/>
      <c r="M30" s="377"/>
      <c r="N30" s="377"/>
      <c r="O30" s="316"/>
      <c r="P30" s="316"/>
      <c r="Q30" s="316"/>
      <c r="R30" s="316"/>
      <c r="S30" s="316"/>
      <c r="T30" s="316"/>
      <c r="U30" s="316"/>
      <c r="V30" s="316"/>
      <c r="W30" s="316"/>
      <c r="X30" s="317"/>
      <c r="Y30" s="267"/>
      <c r="Z30" s="262"/>
      <c r="AA30" s="262"/>
      <c r="AB30" s="251"/>
      <c r="AC30" s="398"/>
      <c r="AD30" s="398"/>
      <c r="AE30" s="398"/>
      <c r="AF30" s="398"/>
    </row>
    <row r="31" spans="1:36" s="226" customFormat="1" ht="18.75" customHeight="1" x14ac:dyDescent="0.15">
      <c r="A31" s="237"/>
      <c r="B31" s="238"/>
      <c r="C31" s="239"/>
      <c r="D31" s="250" t="s">
        <v>184</v>
      </c>
      <c r="E31" s="240" t="s">
        <v>271</v>
      </c>
      <c r="F31" s="252"/>
      <c r="G31" s="303"/>
      <c r="H31" s="270" t="s">
        <v>272</v>
      </c>
      <c r="I31" s="254" t="s">
        <v>184</v>
      </c>
      <c r="J31" s="255" t="s">
        <v>148</v>
      </c>
      <c r="K31" s="256"/>
      <c r="L31" s="257"/>
      <c r="M31" s="258" t="s">
        <v>184</v>
      </c>
      <c r="N31" s="255" t="s">
        <v>149</v>
      </c>
      <c r="O31" s="260"/>
      <c r="P31" s="260"/>
      <c r="Q31" s="260"/>
      <c r="R31" s="260"/>
      <c r="S31" s="260"/>
      <c r="T31" s="260"/>
      <c r="U31" s="260"/>
      <c r="V31" s="260"/>
      <c r="W31" s="260"/>
      <c r="X31" s="261"/>
      <c r="Y31" s="267"/>
      <c r="Z31" s="262"/>
      <c r="AA31" s="262"/>
      <c r="AB31" s="251"/>
      <c r="AC31" s="398"/>
      <c r="AD31" s="398"/>
      <c r="AE31" s="398"/>
      <c r="AF31" s="398"/>
      <c r="AI31" s="226" t="str">
        <f>"16:timeser_code:" &amp; IF(I31="■",1,IF(M31="■",2,0))</f>
        <v>16:timeser_code:0</v>
      </c>
    </row>
    <row r="32" spans="1:36" s="226" customFormat="1" ht="18.75" customHeight="1" x14ac:dyDescent="0.15">
      <c r="A32" s="237"/>
      <c r="B32" s="238"/>
      <c r="C32" s="239"/>
      <c r="D32" s="250" t="s">
        <v>184</v>
      </c>
      <c r="E32" s="240" t="s">
        <v>273</v>
      </c>
      <c r="F32" s="252"/>
      <c r="G32" s="303"/>
      <c r="H32" s="290" t="s">
        <v>274</v>
      </c>
      <c r="I32" s="254" t="s">
        <v>184</v>
      </c>
      <c r="J32" s="255" t="s">
        <v>142</v>
      </c>
      <c r="K32" s="256"/>
      <c r="L32" s="258" t="s">
        <v>184</v>
      </c>
      <c r="M32" s="255" t="s">
        <v>150</v>
      </c>
      <c r="N32" s="288"/>
      <c r="O32" s="288"/>
      <c r="P32" s="288"/>
      <c r="Q32" s="288"/>
      <c r="R32" s="288"/>
      <c r="S32" s="288"/>
      <c r="T32" s="288"/>
      <c r="U32" s="288"/>
      <c r="V32" s="288"/>
      <c r="W32" s="288"/>
      <c r="X32" s="289"/>
      <c r="Y32" s="267"/>
      <c r="Z32" s="262"/>
      <c r="AA32" s="262"/>
      <c r="AB32" s="251"/>
      <c r="AC32" s="398"/>
      <c r="AD32" s="398"/>
      <c r="AE32" s="398"/>
      <c r="AF32" s="398"/>
      <c r="AI32" s="226" t="str">
        <f>"16:field188:" &amp; IF(I32="■",1,IF(L32="■",2,0))</f>
        <v>16:field188:0</v>
      </c>
    </row>
    <row r="33" spans="1:36" s="226" customFormat="1" ht="18.75" customHeight="1" x14ac:dyDescent="0.15">
      <c r="A33" s="237"/>
      <c r="B33" s="238"/>
      <c r="C33" s="239"/>
      <c r="D33" s="250" t="s">
        <v>184</v>
      </c>
      <c r="E33" s="240" t="s">
        <v>275</v>
      </c>
      <c r="F33" s="252"/>
      <c r="G33" s="303"/>
      <c r="H33" s="287" t="s">
        <v>276</v>
      </c>
      <c r="I33" s="254" t="s">
        <v>184</v>
      </c>
      <c r="J33" s="255" t="s">
        <v>142</v>
      </c>
      <c r="K33" s="255"/>
      <c r="L33" s="258" t="s">
        <v>184</v>
      </c>
      <c r="M33" s="255" t="s">
        <v>143</v>
      </c>
      <c r="N33" s="255"/>
      <c r="O33" s="258" t="s">
        <v>184</v>
      </c>
      <c r="P33" s="255" t="s">
        <v>144</v>
      </c>
      <c r="Q33" s="288"/>
      <c r="R33" s="288"/>
      <c r="S33" s="288"/>
      <c r="T33" s="288"/>
      <c r="U33" s="288"/>
      <c r="V33" s="288"/>
      <c r="W33" s="288"/>
      <c r="X33" s="289"/>
      <c r="Y33" s="267"/>
      <c r="Z33" s="262"/>
      <c r="AA33" s="262"/>
      <c r="AB33" s="251"/>
      <c r="AC33" s="398"/>
      <c r="AD33" s="398"/>
      <c r="AE33" s="398"/>
      <c r="AF33" s="398"/>
      <c r="AI33" s="226" t="str">
        <f>"16:nyukai_code:" &amp; IF(I33="■",1,IF(O33="■",3,IF(L33="■",2,0)))</f>
        <v>16:nyukai_code:0</v>
      </c>
    </row>
    <row r="34" spans="1:36" s="226" customFormat="1" ht="18.75" customHeight="1" x14ac:dyDescent="0.15">
      <c r="A34" s="237"/>
      <c r="B34" s="238"/>
      <c r="C34" s="239"/>
      <c r="D34" s="250" t="s">
        <v>184</v>
      </c>
      <c r="E34" s="240" t="s">
        <v>277</v>
      </c>
      <c r="F34" s="252"/>
      <c r="G34" s="303"/>
      <c r="H34" s="334" t="s">
        <v>264</v>
      </c>
      <c r="I34" s="335" t="s">
        <v>184</v>
      </c>
      <c r="J34" s="328" t="s">
        <v>142</v>
      </c>
      <c r="K34" s="328"/>
      <c r="L34" s="329"/>
      <c r="M34" s="330" t="s">
        <v>184</v>
      </c>
      <c r="N34" s="328" t="s">
        <v>265</v>
      </c>
      <c r="O34" s="328"/>
      <c r="P34" s="329"/>
      <c r="Q34" s="330" t="s">
        <v>184</v>
      </c>
      <c r="R34" s="331" t="s">
        <v>266</v>
      </c>
      <c r="S34" s="331"/>
      <c r="T34" s="331"/>
      <c r="U34" s="330" t="s">
        <v>184</v>
      </c>
      <c r="V34" s="331" t="s">
        <v>278</v>
      </c>
      <c r="W34" s="331"/>
      <c r="X34" s="333"/>
      <c r="Y34" s="267"/>
      <c r="Z34" s="262"/>
      <c r="AA34" s="262"/>
      <c r="AB34" s="251"/>
      <c r="AC34" s="398"/>
      <c r="AD34" s="398"/>
      <c r="AE34" s="398"/>
      <c r="AF34" s="398"/>
      <c r="AI34" s="226" t="str">
        <f>"16:field149:" &amp; IF(I34="■",1,IF(U34="■",8,IF(Q34="■",6,IF(M34="■",3,0))))</f>
        <v>16:field149:0</v>
      </c>
    </row>
    <row r="35" spans="1:36" s="226" customFormat="1" ht="19.5" customHeight="1" x14ac:dyDescent="0.15">
      <c r="A35" s="268" t="s">
        <v>184</v>
      </c>
      <c r="B35" s="238">
        <v>16</v>
      </c>
      <c r="C35" s="239" t="s">
        <v>279</v>
      </c>
      <c r="D35" s="250" t="s">
        <v>184</v>
      </c>
      <c r="E35" s="240" t="s">
        <v>280</v>
      </c>
      <c r="F35" s="219"/>
      <c r="G35" s="241"/>
      <c r="H35" s="381" t="s">
        <v>267</v>
      </c>
      <c r="I35" s="383" t="s">
        <v>184</v>
      </c>
      <c r="J35" s="376" t="s">
        <v>142</v>
      </c>
      <c r="K35" s="376"/>
      <c r="L35" s="379" t="s">
        <v>184</v>
      </c>
      <c r="M35" s="376" t="s">
        <v>150</v>
      </c>
      <c r="N35" s="376"/>
      <c r="O35" s="2"/>
      <c r="P35" s="212"/>
      <c r="Q35" s="212"/>
      <c r="R35" s="212"/>
      <c r="S35" s="1"/>
      <c r="T35" s="1"/>
      <c r="U35" s="212"/>
      <c r="V35" s="212"/>
      <c r="W35" s="1"/>
      <c r="X35" s="303"/>
      <c r="Y35" s="267"/>
      <c r="Z35" s="262"/>
      <c r="AA35" s="262"/>
      <c r="AB35" s="251"/>
      <c r="AC35" s="398"/>
      <c r="AD35" s="398"/>
      <c r="AE35" s="398"/>
      <c r="AF35" s="398"/>
      <c r="AI35" s="226" t="str">
        <f>"16:field239:" &amp; IF(I35="■",1,IF(L35="■",2,0))</f>
        <v>16:field239:0</v>
      </c>
    </row>
    <row r="36" spans="1:36" s="226" customFormat="1" ht="19.5" customHeight="1" x14ac:dyDescent="0.15">
      <c r="A36" s="237"/>
      <c r="B36" s="238"/>
      <c r="C36" s="239"/>
      <c r="D36" s="250" t="s">
        <v>184</v>
      </c>
      <c r="E36" s="240" t="s">
        <v>281</v>
      </c>
      <c r="F36" s="219"/>
      <c r="G36" s="241"/>
      <c r="H36" s="382"/>
      <c r="I36" s="384"/>
      <c r="J36" s="377"/>
      <c r="K36" s="377"/>
      <c r="L36" s="380"/>
      <c r="M36" s="377"/>
      <c r="N36" s="377"/>
      <c r="O36" s="2"/>
      <c r="P36" s="212"/>
      <c r="Q36" s="316"/>
      <c r="R36" s="316"/>
      <c r="S36" s="1"/>
      <c r="T36" s="1"/>
      <c r="U36" s="318"/>
      <c r="V36" s="316"/>
      <c r="W36" s="1"/>
      <c r="X36" s="303"/>
      <c r="Y36" s="267"/>
      <c r="Z36" s="262"/>
      <c r="AA36" s="262"/>
      <c r="AB36" s="251"/>
      <c r="AC36" s="398"/>
      <c r="AD36" s="398"/>
      <c r="AE36" s="398"/>
      <c r="AF36" s="398"/>
    </row>
    <row r="37" spans="1:36" s="226" customFormat="1" ht="18.75" customHeight="1" x14ac:dyDescent="0.15">
      <c r="A37" s="237"/>
      <c r="B37" s="238"/>
      <c r="C37" s="239"/>
      <c r="D37" s="250" t="s">
        <v>184</v>
      </c>
      <c r="E37" s="240" t="s">
        <v>282</v>
      </c>
      <c r="F37" s="252"/>
      <c r="G37" s="303"/>
      <c r="H37" s="287" t="s">
        <v>283</v>
      </c>
      <c r="I37" s="258" t="s">
        <v>184</v>
      </c>
      <c r="J37" s="255" t="s">
        <v>142</v>
      </c>
      <c r="K37" s="255"/>
      <c r="L37" s="258" t="s">
        <v>184</v>
      </c>
      <c r="M37" s="255" t="s">
        <v>143</v>
      </c>
      <c r="N37" s="255"/>
      <c r="O37" s="258" t="s">
        <v>184</v>
      </c>
      <c r="P37" s="255" t="s">
        <v>144</v>
      </c>
      <c r="Q37" s="288"/>
      <c r="R37" s="288"/>
      <c r="S37" s="288"/>
      <c r="T37" s="288"/>
      <c r="U37" s="288"/>
      <c r="V37" s="288"/>
      <c r="W37" s="288"/>
      <c r="X37" s="289"/>
      <c r="Y37" s="267"/>
      <c r="Z37" s="262"/>
      <c r="AA37" s="262"/>
      <c r="AB37" s="251"/>
      <c r="AC37" s="398"/>
      <c r="AD37" s="398"/>
      <c r="AE37" s="398"/>
      <c r="AF37" s="398"/>
      <c r="AI37" s="226" t="str">
        <f>"16:ninti_riha_code:" &amp; IF(I37="■",1,IF(L37="■",2,IF(O37="■",3,0)))</f>
        <v>16:ninti_riha_code:0</v>
      </c>
    </row>
    <row r="38" spans="1:36" s="226" customFormat="1" ht="18.75" customHeight="1" x14ac:dyDescent="0.15">
      <c r="A38" s="237"/>
      <c r="B38" s="238"/>
      <c r="C38" s="239"/>
      <c r="D38" s="250" t="s">
        <v>184</v>
      </c>
      <c r="E38" s="240" t="s">
        <v>284</v>
      </c>
      <c r="F38" s="252"/>
      <c r="G38" s="303"/>
      <c r="H38" s="287" t="s">
        <v>285</v>
      </c>
      <c r="I38" s="254" t="s">
        <v>184</v>
      </c>
      <c r="J38" s="255" t="s">
        <v>142</v>
      </c>
      <c r="K38" s="256"/>
      <c r="L38" s="258" t="s">
        <v>184</v>
      </c>
      <c r="M38" s="255" t="s">
        <v>150</v>
      </c>
      <c r="N38" s="288"/>
      <c r="O38" s="288"/>
      <c r="P38" s="288"/>
      <c r="Q38" s="288"/>
      <c r="R38" s="288"/>
      <c r="S38" s="288"/>
      <c r="T38" s="288"/>
      <c r="U38" s="288"/>
      <c r="V38" s="288"/>
      <c r="W38" s="288"/>
      <c r="X38" s="289"/>
      <c r="Y38" s="267"/>
      <c r="Z38" s="262"/>
      <c r="AA38" s="262"/>
      <c r="AB38" s="251"/>
      <c r="AC38" s="398"/>
      <c r="AD38" s="398"/>
      <c r="AE38" s="398"/>
      <c r="AF38" s="398"/>
      <c r="AI38" s="226" t="str">
        <f>"16:field157:" &amp; IF(I38="■",1,IF(L38="■",2,0))</f>
        <v>16:field157:0</v>
      </c>
    </row>
    <row r="39" spans="1:36" s="226" customFormat="1" ht="18.75" customHeight="1" x14ac:dyDescent="0.15">
      <c r="A39" s="237"/>
      <c r="B39" s="238"/>
      <c r="C39" s="239"/>
      <c r="D39" s="250" t="s">
        <v>184</v>
      </c>
      <c r="E39" s="240" t="s">
        <v>286</v>
      </c>
      <c r="F39" s="252"/>
      <c r="G39" s="303"/>
      <c r="H39" s="270" t="s">
        <v>93</v>
      </c>
      <c r="I39" s="258" t="s">
        <v>184</v>
      </c>
      <c r="J39" s="255" t="s">
        <v>142</v>
      </c>
      <c r="K39" s="256"/>
      <c r="L39" s="258" t="s">
        <v>184</v>
      </c>
      <c r="M39" s="255" t="s">
        <v>150</v>
      </c>
      <c r="N39" s="288"/>
      <c r="O39" s="288"/>
      <c r="P39" s="288"/>
      <c r="Q39" s="288"/>
      <c r="R39" s="288"/>
      <c r="S39" s="288"/>
      <c r="T39" s="288"/>
      <c r="U39" s="288"/>
      <c r="V39" s="288"/>
      <c r="W39" s="288"/>
      <c r="X39" s="289"/>
      <c r="Y39" s="267"/>
      <c r="Z39" s="262"/>
      <c r="AA39" s="262"/>
      <c r="AB39" s="251"/>
      <c r="AC39" s="398"/>
      <c r="AD39" s="398"/>
      <c r="AE39" s="398"/>
      <c r="AF39" s="398"/>
      <c r="AI39" s="226" t="str">
        <f>"16:jyakuninti_uke_code:" &amp; IF(I39="■",1,IF(L39="■",2,0))</f>
        <v>16:jyakuninti_uke_code:0</v>
      </c>
    </row>
    <row r="40" spans="1:36" s="226" customFormat="1" ht="18.75" customHeight="1" x14ac:dyDescent="0.15">
      <c r="A40" s="237"/>
      <c r="B40" s="238"/>
      <c r="C40" s="239"/>
      <c r="D40" s="252"/>
      <c r="E40" s="240"/>
      <c r="F40" s="252"/>
      <c r="G40" s="303"/>
      <c r="H40" s="336" t="s">
        <v>256</v>
      </c>
      <c r="I40" s="258" t="s">
        <v>184</v>
      </c>
      <c r="J40" s="255" t="s">
        <v>142</v>
      </c>
      <c r="K40" s="256"/>
      <c r="L40" s="258" t="s">
        <v>184</v>
      </c>
      <c r="M40" s="255" t="s">
        <v>150</v>
      </c>
      <c r="N40" s="288"/>
      <c r="O40" s="288"/>
      <c r="P40" s="288"/>
      <c r="Q40" s="288"/>
      <c r="R40" s="288"/>
      <c r="S40" s="288"/>
      <c r="T40" s="288"/>
      <c r="U40" s="288"/>
      <c r="V40" s="288"/>
      <c r="W40" s="288"/>
      <c r="X40" s="289"/>
      <c r="Y40" s="267"/>
      <c r="Z40" s="262"/>
      <c r="AA40" s="262"/>
      <c r="AB40" s="251"/>
      <c r="AC40" s="398"/>
      <c r="AD40" s="398"/>
      <c r="AE40" s="398"/>
      <c r="AF40" s="398"/>
      <c r="AI40" s="226" t="str">
        <f>"16:eiyomana_code:" &amp; IF(I40="■",1,IF(L40="■",2,0))</f>
        <v>16:eiyomana_code:0</v>
      </c>
    </row>
    <row r="41" spans="1:36" s="226" customFormat="1" ht="18.75" customHeight="1" x14ac:dyDescent="0.15">
      <c r="A41" s="237"/>
      <c r="B41" s="238"/>
      <c r="C41" s="239"/>
      <c r="D41" s="252"/>
      <c r="E41" s="240"/>
      <c r="F41" s="252"/>
      <c r="G41" s="303"/>
      <c r="H41" s="287" t="s">
        <v>257</v>
      </c>
      <c r="I41" s="258" t="s">
        <v>184</v>
      </c>
      <c r="J41" s="255" t="s">
        <v>142</v>
      </c>
      <c r="K41" s="256"/>
      <c r="L41" s="258" t="s">
        <v>184</v>
      </c>
      <c r="M41" s="255" t="s">
        <v>150</v>
      </c>
      <c r="N41" s="288"/>
      <c r="O41" s="288"/>
      <c r="P41" s="288"/>
      <c r="Q41" s="288"/>
      <c r="R41" s="288"/>
      <c r="S41" s="288"/>
      <c r="T41" s="288"/>
      <c r="U41" s="288"/>
      <c r="V41" s="288"/>
      <c r="W41" s="288"/>
      <c r="X41" s="289"/>
      <c r="Y41" s="267"/>
      <c r="Z41" s="262"/>
      <c r="AA41" s="262"/>
      <c r="AB41" s="251"/>
      <c r="AC41" s="398"/>
      <c r="AD41" s="398"/>
      <c r="AE41" s="398"/>
      <c r="AF41" s="398"/>
      <c r="AI41" s="226" t="str">
        <f>"16:koukoukino_code:" &amp; IF(I41="■",1,IF(L41="■",2,0))</f>
        <v>16:koukoukino_code:0</v>
      </c>
    </row>
    <row r="42" spans="1:36" s="226" customFormat="1" ht="18.75" customHeight="1" x14ac:dyDescent="0.15">
      <c r="A42" s="237"/>
      <c r="B42" s="238"/>
      <c r="C42" s="239"/>
      <c r="D42" s="252"/>
      <c r="E42" s="240"/>
      <c r="F42" s="252"/>
      <c r="G42" s="303"/>
      <c r="H42" s="270" t="s">
        <v>287</v>
      </c>
      <c r="I42" s="258" t="s">
        <v>184</v>
      </c>
      <c r="J42" s="255" t="s">
        <v>142</v>
      </c>
      <c r="K42" s="256"/>
      <c r="L42" s="258" t="s">
        <v>184</v>
      </c>
      <c r="M42" s="255" t="s">
        <v>150</v>
      </c>
      <c r="N42" s="288"/>
      <c r="O42" s="288"/>
      <c r="P42" s="288"/>
      <c r="Q42" s="288"/>
      <c r="R42" s="288"/>
      <c r="S42" s="288"/>
      <c r="T42" s="288"/>
      <c r="U42" s="288"/>
      <c r="V42" s="288"/>
      <c r="W42" s="288"/>
      <c r="X42" s="289"/>
      <c r="Y42" s="267"/>
      <c r="Z42" s="262"/>
      <c r="AA42" s="262"/>
      <c r="AB42" s="251"/>
      <c r="AC42" s="398"/>
      <c r="AD42" s="398"/>
      <c r="AE42" s="398"/>
      <c r="AF42" s="398"/>
      <c r="AI42" s="226" t="str">
        <f>"16:field153:" &amp; IF(I42="■",1,IF(L42="■",2,0))</f>
        <v>16:field153:0</v>
      </c>
    </row>
    <row r="43" spans="1:36" s="226" customFormat="1" ht="18.75" customHeight="1" x14ac:dyDescent="0.15">
      <c r="A43" s="237"/>
      <c r="B43" s="238"/>
      <c r="C43" s="239"/>
      <c r="D43" s="252"/>
      <c r="E43" s="240"/>
      <c r="F43" s="252"/>
      <c r="G43" s="303"/>
      <c r="H43" s="287" t="s">
        <v>121</v>
      </c>
      <c r="I43" s="258" t="s">
        <v>184</v>
      </c>
      <c r="J43" s="255" t="s">
        <v>142</v>
      </c>
      <c r="K43" s="256"/>
      <c r="L43" s="258" t="s">
        <v>184</v>
      </c>
      <c r="M43" s="255" t="s">
        <v>150</v>
      </c>
      <c r="N43" s="288"/>
      <c r="O43" s="288"/>
      <c r="P43" s="288"/>
      <c r="Q43" s="288"/>
      <c r="R43" s="288"/>
      <c r="S43" s="288"/>
      <c r="T43" s="288"/>
      <c r="U43" s="288"/>
      <c r="V43" s="288"/>
      <c r="W43" s="288"/>
      <c r="X43" s="289"/>
      <c r="Y43" s="267"/>
      <c r="Z43" s="262"/>
      <c r="AA43" s="262"/>
      <c r="AB43" s="251"/>
      <c r="AC43" s="398"/>
      <c r="AD43" s="398"/>
      <c r="AE43" s="398"/>
      <c r="AF43" s="398"/>
      <c r="AI43" s="226" t="str">
        <f>"16:field212:" &amp; IF(I43="■",1,IF(L43="■",2,0))</f>
        <v>16:field212:0</v>
      </c>
    </row>
    <row r="44" spans="1:36" s="226" customFormat="1" ht="18.75" customHeight="1" x14ac:dyDescent="0.15">
      <c r="A44" s="237"/>
      <c r="B44" s="238"/>
      <c r="C44" s="239"/>
      <c r="D44" s="252"/>
      <c r="E44" s="240"/>
      <c r="F44" s="252"/>
      <c r="G44" s="303"/>
      <c r="H44" s="287" t="s">
        <v>268</v>
      </c>
      <c r="I44" s="258" t="s">
        <v>184</v>
      </c>
      <c r="J44" s="255" t="s">
        <v>142</v>
      </c>
      <c r="K44" s="256"/>
      <c r="L44" s="258" t="s">
        <v>184</v>
      </c>
      <c r="M44" s="255" t="s">
        <v>150</v>
      </c>
      <c r="N44" s="288"/>
      <c r="O44" s="288"/>
      <c r="P44" s="288"/>
      <c r="Q44" s="288"/>
      <c r="R44" s="288"/>
      <c r="S44" s="288"/>
      <c r="T44" s="288"/>
      <c r="U44" s="288"/>
      <c r="V44" s="288"/>
      <c r="W44" s="288"/>
      <c r="X44" s="289"/>
      <c r="Y44" s="267"/>
      <c r="Z44" s="262"/>
      <c r="AA44" s="262"/>
      <c r="AB44" s="251"/>
      <c r="AC44" s="398"/>
      <c r="AD44" s="398"/>
      <c r="AE44" s="398"/>
      <c r="AF44" s="398"/>
      <c r="AI44" s="226" t="str">
        <f>"16:field150:" &amp; IF(I44="■",1,IF(L44="■",2,0))</f>
        <v>16:field150:0</v>
      </c>
    </row>
    <row r="45" spans="1:36" s="226" customFormat="1" ht="18.75" customHeight="1" x14ac:dyDescent="0.15">
      <c r="A45" s="237"/>
      <c r="B45" s="238"/>
      <c r="C45" s="239"/>
      <c r="D45" s="252"/>
      <c r="E45" s="240"/>
      <c r="F45" s="252"/>
      <c r="G45" s="303"/>
      <c r="H45" s="270" t="s">
        <v>96</v>
      </c>
      <c r="I45" s="258" t="s">
        <v>184</v>
      </c>
      <c r="J45" s="255" t="s">
        <v>142</v>
      </c>
      <c r="K45" s="255"/>
      <c r="L45" s="258" t="s">
        <v>184</v>
      </c>
      <c r="M45" s="255" t="s">
        <v>259</v>
      </c>
      <c r="N45" s="255"/>
      <c r="O45" s="258" t="s">
        <v>184</v>
      </c>
      <c r="P45" s="255" t="s">
        <v>241</v>
      </c>
      <c r="Q45" s="255"/>
      <c r="R45" s="258" t="s">
        <v>184</v>
      </c>
      <c r="S45" s="255" t="s">
        <v>260</v>
      </c>
      <c r="T45" s="288"/>
      <c r="U45" s="288"/>
      <c r="V45" s="288"/>
      <c r="W45" s="288"/>
      <c r="X45" s="289"/>
      <c r="Y45" s="267"/>
      <c r="Z45" s="262"/>
      <c r="AA45" s="262"/>
      <c r="AB45" s="251"/>
      <c r="AC45" s="398"/>
      <c r="AD45" s="398"/>
      <c r="AE45" s="398"/>
      <c r="AF45" s="398"/>
      <c r="AI45" s="226" t="str">
        <f>"16:serteikyo_kyoka_code:" &amp; IF(I45="■",1,IF(L45="■",5,IF(O45="■",4,IF(R45="■",6,0))))</f>
        <v>16:serteikyo_kyoka_code:0</v>
      </c>
    </row>
    <row r="46" spans="1:36" s="226" customFormat="1" ht="18.75" customHeight="1" x14ac:dyDescent="0.15">
      <c r="A46" s="271"/>
      <c r="B46" s="216"/>
      <c r="C46" s="272"/>
      <c r="D46" s="231"/>
      <c r="E46" s="236"/>
      <c r="F46" s="220"/>
      <c r="G46" s="273"/>
      <c r="H46" s="274" t="s">
        <v>208</v>
      </c>
      <c r="I46" s="275" t="s">
        <v>184</v>
      </c>
      <c r="J46" s="43" t="s">
        <v>142</v>
      </c>
      <c r="K46" s="43"/>
      <c r="L46" s="276" t="s">
        <v>184</v>
      </c>
      <c r="M46" s="43" t="s">
        <v>195</v>
      </c>
      <c r="N46" s="277"/>
      <c r="O46" s="276" t="s">
        <v>184</v>
      </c>
      <c r="P46" s="233" t="s">
        <v>196</v>
      </c>
      <c r="Q46" s="278"/>
      <c r="R46" s="276" t="s">
        <v>184</v>
      </c>
      <c r="S46" s="43" t="s">
        <v>197</v>
      </c>
      <c r="T46" s="278"/>
      <c r="U46" s="276" t="s">
        <v>184</v>
      </c>
      <c r="V46" s="43" t="s">
        <v>198</v>
      </c>
      <c r="W46" s="279"/>
      <c r="X46" s="280"/>
      <c r="Y46" s="281"/>
      <c r="Z46" s="281"/>
      <c r="AA46" s="281"/>
      <c r="AB46" s="282"/>
      <c r="AC46" s="399"/>
      <c r="AD46" s="399"/>
      <c r="AE46" s="399"/>
      <c r="AF46" s="399"/>
      <c r="AI46" s="226" t="str">
        <f>"16:shoguukaizen_code:"&amp;IF(I46="■",1,IF(L46="■",7,IF(O46="■",8,IF(R46="■",9,IF(U46="■","A",0)))))</f>
        <v>16:shoguukaizen_code:0</v>
      </c>
    </row>
    <row r="47" spans="1:36" s="109" customFormat="1" ht="18.75" customHeight="1" x14ac:dyDescent="0.15">
      <c r="A47" s="191"/>
      <c r="B47" s="192"/>
      <c r="C47" s="121"/>
      <c r="D47" s="122"/>
      <c r="E47" s="124"/>
      <c r="F47" s="122"/>
      <c r="G47" s="116"/>
      <c r="H47" s="352" t="s">
        <v>118</v>
      </c>
      <c r="I47" s="195" t="s">
        <v>184</v>
      </c>
      <c r="J47" s="114" t="s">
        <v>153</v>
      </c>
      <c r="K47" s="199"/>
      <c r="L47" s="178"/>
      <c r="M47" s="197" t="s">
        <v>184</v>
      </c>
      <c r="N47" s="114" t="s">
        <v>157</v>
      </c>
      <c r="O47" s="196"/>
      <c r="P47" s="196"/>
      <c r="Q47" s="197" t="s">
        <v>184</v>
      </c>
      <c r="R47" s="114" t="s">
        <v>158</v>
      </c>
      <c r="S47" s="196"/>
      <c r="T47" s="196"/>
      <c r="U47" s="197" t="s">
        <v>184</v>
      </c>
      <c r="V47" s="114" t="s">
        <v>159</v>
      </c>
      <c r="W47" s="196"/>
      <c r="X47" s="172"/>
      <c r="Y47" s="195" t="s">
        <v>184</v>
      </c>
      <c r="Z47" s="114" t="s">
        <v>141</v>
      </c>
      <c r="AA47" s="114"/>
      <c r="AB47" s="127"/>
      <c r="AC47" s="407"/>
      <c r="AD47" s="407"/>
      <c r="AE47" s="407"/>
      <c r="AF47" s="407"/>
      <c r="AG47" s="109" t="str">
        <f>"ser_code = '" &amp; IF(A59="■","2A","") &amp; "'"</f>
        <v>ser_code = ''</v>
      </c>
      <c r="AH47" s="109" t="str">
        <f>"2A:jininkbn_code:"&amp;IF(F58="■",1,IF(F59="■",2,IF(F60="■",3,0)))</f>
        <v>2A:jininkbn_code:0</v>
      </c>
      <c r="AI47" s="109" t="str">
        <f>"2A:yakan_kinmu_code:" &amp; IF(I47="■",1,IF(M47="■",2,IF(Q47="■",3,IF(U47="■",7,IF(I48="■",5,IF(M48="■",6,0))))))</f>
        <v>2A:yakan_kinmu_code:0</v>
      </c>
      <c r="AJ47" s="109" t="str">
        <f>"2A:field203:" &amp; IF(Y47="■",1,IF(Y48="■",2,0))</f>
        <v>2A:field203:0</v>
      </c>
    </row>
    <row r="48" spans="1:36" s="109" customFormat="1" ht="18.75" customHeight="1" x14ac:dyDescent="0.15">
      <c r="A48" s="193"/>
      <c r="B48" s="194"/>
      <c r="C48" s="99"/>
      <c r="D48" s="100"/>
      <c r="E48" s="103"/>
      <c r="F48" s="100"/>
      <c r="G48" s="101"/>
      <c r="H48" s="362"/>
      <c r="I48" s="207" t="s">
        <v>184</v>
      </c>
      <c r="J48" s="105" t="s">
        <v>160</v>
      </c>
      <c r="K48" s="150"/>
      <c r="L48" s="106"/>
      <c r="M48" s="209" t="s">
        <v>184</v>
      </c>
      <c r="N48" s="105" t="s">
        <v>154</v>
      </c>
      <c r="O48" s="202"/>
      <c r="P48" s="202"/>
      <c r="Q48" s="202"/>
      <c r="R48" s="202"/>
      <c r="S48" s="202"/>
      <c r="T48" s="202"/>
      <c r="U48" s="202"/>
      <c r="V48" s="202"/>
      <c r="W48" s="202"/>
      <c r="X48" s="211"/>
      <c r="Y48" s="174" t="s">
        <v>184</v>
      </c>
      <c r="Z48" s="94" t="s">
        <v>145</v>
      </c>
      <c r="AA48" s="95"/>
      <c r="AB48" s="96"/>
      <c r="AC48" s="408"/>
      <c r="AD48" s="408"/>
      <c r="AE48" s="408"/>
      <c r="AF48" s="408"/>
      <c r="AG48" s="109" t="str">
        <f>"2A:sisetukbn_code:"&amp;IF(D59="■","1",0)</f>
        <v>2A:sisetukbn_code:0</v>
      </c>
    </row>
    <row r="49" spans="1:35" s="109" customFormat="1" ht="18.75" customHeight="1" x14ac:dyDescent="0.15">
      <c r="A49" s="193"/>
      <c r="B49" s="194"/>
      <c r="C49" s="99"/>
      <c r="D49" s="100"/>
      <c r="E49" s="103"/>
      <c r="F49" s="100"/>
      <c r="G49" s="101"/>
      <c r="H49" s="366" t="s">
        <v>87</v>
      </c>
      <c r="I49" s="206" t="s">
        <v>184</v>
      </c>
      <c r="J49" s="146" t="s">
        <v>142</v>
      </c>
      <c r="K49" s="146"/>
      <c r="L49" s="171"/>
      <c r="M49" s="208" t="s">
        <v>184</v>
      </c>
      <c r="N49" s="146" t="s">
        <v>152</v>
      </c>
      <c r="O49" s="146"/>
      <c r="P49" s="171"/>
      <c r="Q49" s="208" t="s">
        <v>184</v>
      </c>
      <c r="R49" s="205" t="s">
        <v>173</v>
      </c>
      <c r="S49" s="205"/>
      <c r="T49" s="205"/>
      <c r="U49" s="185"/>
      <c r="V49" s="171"/>
      <c r="W49" s="205"/>
      <c r="X49" s="186"/>
      <c r="Y49" s="133"/>
      <c r="Z49" s="95"/>
      <c r="AA49" s="95"/>
      <c r="AB49" s="96"/>
      <c r="AC49" s="409"/>
      <c r="AD49" s="409"/>
      <c r="AE49" s="409"/>
      <c r="AF49" s="409"/>
      <c r="AI49" s="109" t="str">
        <f>"2A:"&amp;IF(AND(I49="□",M49="□",Q49="□",I50="□",M50="□"),"ketu_doctor_code:0",IF(I49="■","ketu_doctor_code:1:field197:1:ketu_kangos_code:1:ketu_kshoku_code:1",IF(M49="■","ketu_doctor_code:2","ketu_doctor_code:1")
&amp;IF(Q49="■",":field197:2",":field197:1")
&amp;IF(I50="■",":ketu_kangos_code:2",":ketu_kangos_code:1")
&amp;IF(M50="■",":ketu_kshoku_code:2",":ketu_kshoku_code:1")))</f>
        <v>2A:ketu_doctor_code:0</v>
      </c>
    </row>
    <row r="50" spans="1:35" s="109" customFormat="1" ht="18.75" customHeight="1" x14ac:dyDescent="0.15">
      <c r="A50" s="193"/>
      <c r="B50" s="194"/>
      <c r="C50" s="99"/>
      <c r="D50" s="100"/>
      <c r="E50" s="103"/>
      <c r="F50" s="100"/>
      <c r="G50" s="101"/>
      <c r="H50" s="362"/>
      <c r="I50" s="207" t="s">
        <v>184</v>
      </c>
      <c r="J50" s="202" t="s">
        <v>174</v>
      </c>
      <c r="K50" s="202"/>
      <c r="L50" s="202"/>
      <c r="M50" s="209" t="s">
        <v>184</v>
      </c>
      <c r="N50" s="202" t="s">
        <v>175</v>
      </c>
      <c r="O50" s="106"/>
      <c r="P50" s="202"/>
      <c r="Q50" s="202"/>
      <c r="R50" s="106"/>
      <c r="S50" s="202"/>
      <c r="T50" s="202"/>
      <c r="U50" s="131"/>
      <c r="V50" s="106"/>
      <c r="W50" s="202"/>
      <c r="X50" s="132"/>
      <c r="Y50" s="133"/>
      <c r="Z50" s="95"/>
      <c r="AA50" s="95"/>
      <c r="AB50" s="96"/>
      <c r="AC50" s="409"/>
      <c r="AD50" s="409"/>
      <c r="AE50" s="409"/>
      <c r="AF50" s="409"/>
    </row>
    <row r="51" spans="1:35" s="109" customFormat="1" ht="18.75" customHeight="1" x14ac:dyDescent="0.15">
      <c r="A51" s="97"/>
      <c r="B51" s="204"/>
      <c r="C51" s="182"/>
      <c r="D51" s="183"/>
      <c r="E51" s="101"/>
      <c r="F51" s="102"/>
      <c r="G51" s="103"/>
      <c r="H51" s="180" t="s">
        <v>92</v>
      </c>
      <c r="I51" s="134" t="s">
        <v>184</v>
      </c>
      <c r="J51" s="135" t="s">
        <v>185</v>
      </c>
      <c r="K51" s="136"/>
      <c r="L51" s="137"/>
      <c r="M51" s="138" t="s">
        <v>184</v>
      </c>
      <c r="N51" s="135" t="s">
        <v>186</v>
      </c>
      <c r="O51" s="136"/>
      <c r="P51" s="136"/>
      <c r="Q51" s="136"/>
      <c r="R51" s="136"/>
      <c r="S51" s="136"/>
      <c r="T51" s="136"/>
      <c r="U51" s="136"/>
      <c r="V51" s="136"/>
      <c r="W51" s="136"/>
      <c r="X51" s="144"/>
      <c r="Y51" s="133"/>
      <c r="Z51" s="95"/>
      <c r="AA51" s="95"/>
      <c r="AB51" s="96"/>
      <c r="AC51" s="409"/>
      <c r="AD51" s="409"/>
      <c r="AE51" s="409"/>
      <c r="AF51" s="409"/>
      <c r="AI51" s="109" t="str">
        <f>"2A:sintaikousoku_code:" &amp; IF(I51="■",1,IF(M51="■",2,0))</f>
        <v>2A:sintaikousoku_code:0</v>
      </c>
    </row>
    <row r="52" spans="1:35" s="109" customFormat="1" ht="19.5" customHeight="1" x14ac:dyDescent="0.15">
      <c r="A52" s="97"/>
      <c r="B52" s="204"/>
      <c r="C52" s="99"/>
      <c r="D52" s="100"/>
      <c r="E52" s="101"/>
      <c r="F52" s="102"/>
      <c r="G52" s="103"/>
      <c r="H52" s="104" t="s">
        <v>192</v>
      </c>
      <c r="I52" s="134" t="s">
        <v>184</v>
      </c>
      <c r="J52" s="135" t="s">
        <v>185</v>
      </c>
      <c r="K52" s="136"/>
      <c r="L52" s="137"/>
      <c r="M52" s="138" t="s">
        <v>184</v>
      </c>
      <c r="N52" s="135" t="s">
        <v>193</v>
      </c>
      <c r="O52" s="139"/>
      <c r="P52" s="135"/>
      <c r="Q52" s="140"/>
      <c r="R52" s="140"/>
      <c r="S52" s="140"/>
      <c r="T52" s="140"/>
      <c r="U52" s="140"/>
      <c r="V52" s="140"/>
      <c r="W52" s="140"/>
      <c r="X52" s="141"/>
      <c r="Y52" s="95"/>
      <c r="Z52" s="95"/>
      <c r="AA52" s="95"/>
      <c r="AB52" s="96"/>
      <c r="AC52" s="409"/>
      <c r="AD52" s="409"/>
      <c r="AE52" s="409"/>
      <c r="AF52" s="409"/>
      <c r="AI52" s="109" t="str">
        <f>"2A:field223:" &amp; IF(I52="■",1,IF(M52="■",2,0))</f>
        <v>2A:field223:0</v>
      </c>
    </row>
    <row r="53" spans="1:35" s="109" customFormat="1" ht="19.5" customHeight="1" x14ac:dyDescent="0.15">
      <c r="A53" s="97"/>
      <c r="B53" s="204"/>
      <c r="C53" s="99"/>
      <c r="D53" s="100"/>
      <c r="E53" s="101"/>
      <c r="F53" s="102"/>
      <c r="G53" s="103"/>
      <c r="H53" s="104" t="s">
        <v>201</v>
      </c>
      <c r="I53" s="134" t="s">
        <v>184</v>
      </c>
      <c r="J53" s="135" t="s">
        <v>185</v>
      </c>
      <c r="K53" s="136"/>
      <c r="L53" s="137"/>
      <c r="M53" s="138" t="s">
        <v>184</v>
      </c>
      <c r="N53" s="135" t="s">
        <v>193</v>
      </c>
      <c r="O53" s="139"/>
      <c r="P53" s="135"/>
      <c r="Q53" s="140"/>
      <c r="R53" s="140"/>
      <c r="S53" s="140"/>
      <c r="T53" s="140"/>
      <c r="U53" s="140"/>
      <c r="V53" s="140"/>
      <c r="W53" s="140"/>
      <c r="X53" s="141"/>
      <c r="Y53" s="95"/>
      <c r="Z53" s="95"/>
      <c r="AA53" s="95"/>
      <c r="AB53" s="96"/>
      <c r="AC53" s="409"/>
      <c r="AD53" s="409"/>
      <c r="AE53" s="409"/>
      <c r="AF53" s="409"/>
      <c r="AI53" s="109" t="str">
        <f>"2A:field232:" &amp; IF(I53="■",1,IF(M53="■",2,0))</f>
        <v>2A:field232:0</v>
      </c>
    </row>
    <row r="54" spans="1:35" s="109" customFormat="1" ht="18.75" customHeight="1" x14ac:dyDescent="0.15">
      <c r="A54" s="193"/>
      <c r="B54" s="194"/>
      <c r="C54" s="99"/>
      <c r="D54" s="100"/>
      <c r="E54" s="103"/>
      <c r="F54" s="100"/>
      <c r="G54" s="101"/>
      <c r="H54" s="180" t="s">
        <v>112</v>
      </c>
      <c r="I54" s="134" t="s">
        <v>184</v>
      </c>
      <c r="J54" s="135" t="s">
        <v>153</v>
      </c>
      <c r="K54" s="136"/>
      <c r="L54" s="137"/>
      <c r="M54" s="138" t="s">
        <v>184</v>
      </c>
      <c r="N54" s="135" t="s">
        <v>161</v>
      </c>
      <c r="O54" s="140"/>
      <c r="P54" s="140"/>
      <c r="Q54" s="140"/>
      <c r="R54" s="140"/>
      <c r="S54" s="140"/>
      <c r="T54" s="140"/>
      <c r="U54" s="140"/>
      <c r="V54" s="140"/>
      <c r="W54" s="140"/>
      <c r="X54" s="141"/>
      <c r="Y54" s="133"/>
      <c r="Z54" s="95"/>
      <c r="AA54" s="95"/>
      <c r="AB54" s="96"/>
      <c r="AC54" s="409"/>
      <c r="AD54" s="409"/>
      <c r="AE54" s="409"/>
      <c r="AF54" s="409"/>
      <c r="AI54" s="109" t="str">
        <f>"2A:field190:" &amp; IF(I54="■",1,IF(M54="■",2,0))</f>
        <v>2A:field190:0</v>
      </c>
    </row>
    <row r="55" spans="1:35" s="109" customFormat="1" ht="18.75" customHeight="1" x14ac:dyDescent="0.15">
      <c r="A55" s="193"/>
      <c r="B55" s="194"/>
      <c r="C55" s="99"/>
      <c r="D55" s="100"/>
      <c r="E55" s="103"/>
      <c r="F55" s="100"/>
      <c r="G55" s="101"/>
      <c r="H55" s="180" t="s">
        <v>113</v>
      </c>
      <c r="I55" s="134" t="s">
        <v>184</v>
      </c>
      <c r="J55" s="135" t="s">
        <v>153</v>
      </c>
      <c r="K55" s="136"/>
      <c r="L55" s="137"/>
      <c r="M55" s="138" t="s">
        <v>184</v>
      </c>
      <c r="N55" s="135" t="s">
        <v>161</v>
      </c>
      <c r="O55" s="140"/>
      <c r="P55" s="140"/>
      <c r="Q55" s="140"/>
      <c r="R55" s="140"/>
      <c r="S55" s="140"/>
      <c r="T55" s="140"/>
      <c r="U55" s="140"/>
      <c r="V55" s="140"/>
      <c r="W55" s="140"/>
      <c r="X55" s="141"/>
      <c r="Y55" s="133"/>
      <c r="Z55" s="95"/>
      <c r="AA55" s="95"/>
      <c r="AB55" s="96"/>
      <c r="AC55" s="409"/>
      <c r="AD55" s="409"/>
      <c r="AE55" s="409"/>
      <c r="AF55" s="409"/>
      <c r="AI55" s="109" t="str">
        <f>"2A:field191:" &amp; IF(I55="■",1,IF(M55="■",2,0))</f>
        <v>2A:field191:0</v>
      </c>
    </row>
    <row r="56" spans="1:35" s="109" customFormat="1" ht="18.75" customHeight="1" x14ac:dyDescent="0.15">
      <c r="A56" s="193"/>
      <c r="B56" s="194"/>
      <c r="C56" s="99"/>
      <c r="D56" s="100"/>
      <c r="E56" s="103"/>
      <c r="F56" s="100"/>
      <c r="G56" s="101"/>
      <c r="H56" s="180" t="s">
        <v>93</v>
      </c>
      <c r="I56" s="134" t="s">
        <v>184</v>
      </c>
      <c r="J56" s="135" t="s">
        <v>142</v>
      </c>
      <c r="K56" s="136"/>
      <c r="L56" s="138" t="s">
        <v>184</v>
      </c>
      <c r="M56" s="135" t="s">
        <v>150</v>
      </c>
      <c r="N56" s="140"/>
      <c r="O56" s="140"/>
      <c r="P56" s="140"/>
      <c r="Q56" s="136"/>
      <c r="R56" s="140"/>
      <c r="S56" s="140"/>
      <c r="T56" s="140"/>
      <c r="U56" s="140"/>
      <c r="V56" s="140"/>
      <c r="W56" s="140"/>
      <c r="X56" s="141"/>
      <c r="Y56" s="133"/>
      <c r="Z56" s="95"/>
      <c r="AA56" s="95"/>
      <c r="AB56" s="96"/>
      <c r="AC56" s="409"/>
      <c r="AD56" s="409"/>
      <c r="AE56" s="409"/>
      <c r="AF56" s="409"/>
      <c r="AI56" s="109" t="str">
        <f>"2A:jyakuninti_uke_code:" &amp; IF(I56="■",1,IF(L56="■",2,0))</f>
        <v>2A:jyakuninti_uke_code:0</v>
      </c>
    </row>
    <row r="57" spans="1:35" s="109" customFormat="1" ht="18.75" customHeight="1" x14ac:dyDescent="0.15">
      <c r="A57" s="193"/>
      <c r="B57" s="194"/>
      <c r="C57" s="99"/>
      <c r="D57" s="100"/>
      <c r="E57" s="103"/>
      <c r="F57" s="100"/>
      <c r="G57" s="101"/>
      <c r="H57" s="180" t="s">
        <v>120</v>
      </c>
      <c r="I57" s="134" t="s">
        <v>184</v>
      </c>
      <c r="J57" s="135" t="s">
        <v>148</v>
      </c>
      <c r="K57" s="136"/>
      <c r="L57" s="137"/>
      <c r="M57" s="138" t="s">
        <v>184</v>
      </c>
      <c r="N57" s="135" t="s">
        <v>149</v>
      </c>
      <c r="O57" s="140"/>
      <c r="P57" s="140"/>
      <c r="Q57" s="136"/>
      <c r="R57" s="140"/>
      <c r="S57" s="140"/>
      <c r="T57" s="140"/>
      <c r="U57" s="140"/>
      <c r="V57" s="140"/>
      <c r="W57" s="140"/>
      <c r="X57" s="141"/>
      <c r="Y57" s="133"/>
      <c r="Z57" s="95"/>
      <c r="AA57" s="95"/>
      <c r="AB57" s="96"/>
      <c r="AC57" s="409"/>
      <c r="AD57" s="409"/>
      <c r="AE57" s="409"/>
      <c r="AF57" s="409"/>
      <c r="AI57" s="109" t="str">
        <f>"2A:sougei_code:" &amp; IF(I57="■",1,IF(M57="■",2,0))</f>
        <v>2A:sougei_code:0</v>
      </c>
    </row>
    <row r="58" spans="1:35" s="109" customFormat="1" ht="19.5" customHeight="1" x14ac:dyDescent="0.15">
      <c r="A58" s="193"/>
      <c r="B58" s="194"/>
      <c r="C58" s="99"/>
      <c r="D58" s="100"/>
      <c r="E58" s="103"/>
      <c r="F58" s="174" t="s">
        <v>184</v>
      </c>
      <c r="G58" s="101" t="s">
        <v>169</v>
      </c>
      <c r="H58" s="104" t="s">
        <v>194</v>
      </c>
      <c r="I58" s="134" t="s">
        <v>184</v>
      </c>
      <c r="J58" s="135" t="s">
        <v>142</v>
      </c>
      <c r="K58" s="135"/>
      <c r="L58" s="138" t="s">
        <v>184</v>
      </c>
      <c r="M58" s="135" t="s">
        <v>150</v>
      </c>
      <c r="N58" s="135"/>
      <c r="O58" s="140"/>
      <c r="P58" s="135"/>
      <c r="Q58" s="140"/>
      <c r="R58" s="140"/>
      <c r="S58" s="140"/>
      <c r="T58" s="140"/>
      <c r="U58" s="140"/>
      <c r="V58" s="140"/>
      <c r="W58" s="140"/>
      <c r="X58" s="141"/>
      <c r="Y58" s="95"/>
      <c r="Z58" s="95"/>
      <c r="AA58" s="95"/>
      <c r="AB58" s="96"/>
      <c r="AC58" s="409"/>
      <c r="AD58" s="409"/>
      <c r="AE58" s="409"/>
      <c r="AF58" s="409"/>
      <c r="AI58" s="109" t="str">
        <f>"2A:field224:" &amp; IF(I58="■",1,IF(L58="■",2,0))</f>
        <v>2A:field224:0</v>
      </c>
    </row>
    <row r="59" spans="1:35" s="109" customFormat="1" ht="18.75" customHeight="1" x14ac:dyDescent="0.15">
      <c r="A59" s="173" t="s">
        <v>184</v>
      </c>
      <c r="B59" s="194" t="s">
        <v>129</v>
      </c>
      <c r="C59" s="99" t="s">
        <v>119</v>
      </c>
      <c r="D59" s="174" t="s">
        <v>184</v>
      </c>
      <c r="E59" s="103" t="s">
        <v>172</v>
      </c>
      <c r="F59" s="174" t="s">
        <v>184</v>
      </c>
      <c r="G59" s="101" t="s">
        <v>170</v>
      </c>
      <c r="H59" s="180" t="s">
        <v>94</v>
      </c>
      <c r="I59" s="134" t="s">
        <v>184</v>
      </c>
      <c r="J59" s="135" t="s">
        <v>142</v>
      </c>
      <c r="K59" s="136"/>
      <c r="L59" s="138" t="s">
        <v>184</v>
      </c>
      <c r="M59" s="135" t="s">
        <v>150</v>
      </c>
      <c r="N59" s="140"/>
      <c r="O59" s="140"/>
      <c r="P59" s="140"/>
      <c r="Q59" s="136"/>
      <c r="R59" s="140"/>
      <c r="S59" s="140"/>
      <c r="T59" s="140"/>
      <c r="U59" s="140"/>
      <c r="V59" s="140"/>
      <c r="W59" s="140"/>
      <c r="X59" s="141"/>
      <c r="Y59" s="133"/>
      <c r="Z59" s="95"/>
      <c r="AA59" s="95"/>
      <c r="AB59" s="96"/>
      <c r="AC59" s="409"/>
      <c r="AD59" s="409"/>
      <c r="AE59" s="409"/>
      <c r="AF59" s="409"/>
      <c r="AI59" s="109" t="str">
        <f>"2A:ryouyoushoku_code:" &amp; IF(I59="■",1,IF(L59="■",2,0))</f>
        <v>2A:ryouyoushoku_code:0</v>
      </c>
    </row>
    <row r="60" spans="1:35" s="109" customFormat="1" ht="18.75" customHeight="1" x14ac:dyDescent="0.15">
      <c r="A60" s="193"/>
      <c r="B60" s="194"/>
      <c r="C60" s="99"/>
      <c r="D60" s="100"/>
      <c r="E60" s="103"/>
      <c r="F60" s="174" t="s">
        <v>184</v>
      </c>
      <c r="G60" s="101" t="s">
        <v>171</v>
      </c>
      <c r="H60" s="180" t="s">
        <v>95</v>
      </c>
      <c r="I60" s="134" t="s">
        <v>184</v>
      </c>
      <c r="J60" s="135" t="s">
        <v>142</v>
      </c>
      <c r="K60" s="135"/>
      <c r="L60" s="138" t="s">
        <v>184</v>
      </c>
      <c r="M60" s="135" t="s">
        <v>143</v>
      </c>
      <c r="N60" s="135"/>
      <c r="O60" s="138" t="s">
        <v>184</v>
      </c>
      <c r="P60" s="135" t="s">
        <v>144</v>
      </c>
      <c r="Q60" s="140"/>
      <c r="R60" s="140"/>
      <c r="S60" s="140"/>
      <c r="T60" s="140"/>
      <c r="U60" s="140"/>
      <c r="V60" s="140"/>
      <c r="W60" s="140"/>
      <c r="X60" s="141"/>
      <c r="Y60" s="133"/>
      <c r="Z60" s="95"/>
      <c r="AA60" s="95"/>
      <c r="AB60" s="96"/>
      <c r="AC60" s="409"/>
      <c r="AD60" s="409"/>
      <c r="AE60" s="409"/>
      <c r="AF60" s="409"/>
      <c r="AI60" s="109" t="str">
        <f>"2A:ninti_senmoncare_code:" &amp; IF(I60="■",1,IF(O60="■",3,IF(L60="■",2,0)))</f>
        <v>2A:ninti_senmoncare_code:0</v>
      </c>
    </row>
    <row r="61" spans="1:35" s="109" customFormat="1" ht="18.75" customHeight="1" x14ac:dyDescent="0.15">
      <c r="A61" s="193"/>
      <c r="B61" s="194"/>
      <c r="C61" s="99"/>
      <c r="D61" s="100"/>
      <c r="E61" s="103"/>
      <c r="F61" s="100"/>
      <c r="G61" s="101"/>
      <c r="H61" s="180" t="s">
        <v>107</v>
      </c>
      <c r="I61" s="134" t="s">
        <v>184</v>
      </c>
      <c r="J61" s="135" t="s">
        <v>142</v>
      </c>
      <c r="K61" s="135"/>
      <c r="L61" s="138" t="s">
        <v>184</v>
      </c>
      <c r="M61" s="135" t="s">
        <v>143</v>
      </c>
      <c r="N61" s="135"/>
      <c r="O61" s="138" t="s">
        <v>184</v>
      </c>
      <c r="P61" s="135" t="s">
        <v>144</v>
      </c>
      <c r="Q61" s="140"/>
      <c r="R61" s="140"/>
      <c r="S61" s="140"/>
      <c r="T61" s="140"/>
      <c r="U61" s="140"/>
      <c r="V61" s="140"/>
      <c r="W61" s="140"/>
      <c r="X61" s="141"/>
      <c r="Y61" s="133"/>
      <c r="Z61" s="95"/>
      <c r="AA61" s="95"/>
      <c r="AB61" s="96"/>
      <c r="AC61" s="409"/>
      <c r="AD61" s="409"/>
      <c r="AE61" s="409"/>
      <c r="AF61" s="409"/>
      <c r="AI61" s="109" t="str">
        <f>"2A:field164:" &amp; IF(I61="■",1,IF(L61="■",2,IF(O61="■",3,0)))</f>
        <v>2A:field164:0</v>
      </c>
    </row>
    <row r="62" spans="1:35" s="109" customFormat="1" ht="18.75" customHeight="1" x14ac:dyDescent="0.15">
      <c r="A62" s="193"/>
      <c r="B62" s="194"/>
      <c r="C62" s="99"/>
      <c r="D62" s="100"/>
      <c r="E62" s="103"/>
      <c r="F62" s="100"/>
      <c r="G62" s="101"/>
      <c r="H62" s="366" t="s">
        <v>108</v>
      </c>
      <c r="I62" s="206" t="s">
        <v>184</v>
      </c>
      <c r="J62" s="146" t="s">
        <v>155</v>
      </c>
      <c r="K62" s="146"/>
      <c r="L62" s="185"/>
      <c r="M62" s="185"/>
      <c r="N62" s="185"/>
      <c r="O62" s="185"/>
      <c r="P62" s="208" t="s">
        <v>184</v>
      </c>
      <c r="Q62" s="146" t="s">
        <v>156</v>
      </c>
      <c r="R62" s="185"/>
      <c r="S62" s="185"/>
      <c r="T62" s="185"/>
      <c r="U62" s="185"/>
      <c r="V62" s="185"/>
      <c r="W62" s="185"/>
      <c r="X62" s="186"/>
      <c r="Y62" s="133"/>
      <c r="Z62" s="95"/>
      <c r="AA62" s="95"/>
      <c r="AB62" s="96"/>
      <c r="AC62" s="409"/>
      <c r="AD62" s="409"/>
      <c r="AE62" s="409"/>
      <c r="AF62" s="409"/>
      <c r="AI62" s="109" t="str">
        <f>"2A:" &amp; IF(AND(I62="□",P62="□",I63="□"),"tokusin_jyusho_code:0:tokusin_yakuzai_code:0:shuudan_comu_code:0",IF(I62="■","tokusin_jyusho_code:2","tokusin_jyusho_code:1")
&amp;IF(P62="■",":tokusin_yakuzai_code:2",":tokusin_yakuzai_code:1")
&amp;IF(I63="■",":shuudan_comu_code:2",":shuudan_comu_code:1"))</f>
        <v>2A:tokusin_jyusho_code:0:tokusin_yakuzai_code:0:shuudan_comu_code:0</v>
      </c>
    </row>
    <row r="63" spans="1:35" s="109" customFormat="1" ht="18.75" customHeight="1" x14ac:dyDescent="0.15">
      <c r="A63" s="193"/>
      <c r="B63" s="194"/>
      <c r="C63" s="99"/>
      <c r="D63" s="100"/>
      <c r="E63" s="103"/>
      <c r="F63" s="100"/>
      <c r="G63" s="101"/>
      <c r="H63" s="362"/>
      <c r="I63" s="207" t="s">
        <v>184</v>
      </c>
      <c r="J63" s="105" t="s">
        <v>162</v>
      </c>
      <c r="K63" s="131"/>
      <c r="L63" s="131"/>
      <c r="M63" s="131"/>
      <c r="N63" s="131"/>
      <c r="O63" s="131"/>
      <c r="P63" s="131"/>
      <c r="Q63" s="202"/>
      <c r="R63" s="131"/>
      <c r="S63" s="131"/>
      <c r="T63" s="131"/>
      <c r="U63" s="131"/>
      <c r="V63" s="131"/>
      <c r="W63" s="131"/>
      <c r="X63" s="132"/>
      <c r="Y63" s="133"/>
      <c r="Z63" s="95"/>
      <c r="AA63" s="95"/>
      <c r="AB63" s="96"/>
      <c r="AC63" s="409"/>
      <c r="AD63" s="409"/>
      <c r="AE63" s="409"/>
      <c r="AF63" s="409"/>
    </row>
    <row r="64" spans="1:35" s="109" customFormat="1" ht="18.75" customHeight="1" x14ac:dyDescent="0.15">
      <c r="A64" s="193"/>
      <c r="B64" s="194"/>
      <c r="C64" s="99"/>
      <c r="D64" s="100"/>
      <c r="E64" s="103"/>
      <c r="F64" s="100"/>
      <c r="G64" s="101"/>
      <c r="H64" s="366" t="s">
        <v>91</v>
      </c>
      <c r="I64" s="206" t="s">
        <v>184</v>
      </c>
      <c r="J64" s="146" t="s">
        <v>163</v>
      </c>
      <c r="K64" s="151"/>
      <c r="L64" s="171"/>
      <c r="M64" s="208" t="s">
        <v>184</v>
      </c>
      <c r="N64" s="146" t="s">
        <v>164</v>
      </c>
      <c r="O64" s="185"/>
      <c r="P64" s="185"/>
      <c r="Q64" s="208" t="s">
        <v>184</v>
      </c>
      <c r="R64" s="146" t="s">
        <v>165</v>
      </c>
      <c r="S64" s="185"/>
      <c r="T64" s="185"/>
      <c r="U64" s="185"/>
      <c r="V64" s="185"/>
      <c r="W64" s="185"/>
      <c r="X64" s="186"/>
      <c r="Y64" s="133"/>
      <c r="Z64" s="95"/>
      <c r="AA64" s="95"/>
      <c r="AB64" s="96"/>
      <c r="AC64" s="409"/>
      <c r="AD64" s="409"/>
      <c r="AE64" s="409"/>
      <c r="AF64" s="409"/>
      <c r="AI64" s="109" t="str">
        <f>"2A:"&amp;IF(AND(I64="□",M64="□",Q64="□",I65="□",Q65="□"),"koriha_rryoho1_code:0:koriha_sryoho_code:0:koriha_gengo_code:0:riha_seisin_code:0:koriha_other_code:0",IF(I64="■","koriha_rryoho1_code:2","koriha_rryoho1_code:1")
&amp;IF(M64="■",":koriha_sryoho_code:2",":koriha_sryoho_code:1")
&amp;IF(Q64="■",":koriha_gengo_code:2",":koriha_gengo_code:1")
&amp;IF(I65="■",":riha_seisin_code:2",":riha_seisin_code:1")
&amp;IF(Q65="■",":koriha_other_code:2",":koriha_other_code:1"))</f>
        <v>2A:koriha_rryoho1_code:0:koriha_sryoho_code:0:koriha_gengo_code:0:riha_seisin_code:0:koriha_other_code:0</v>
      </c>
    </row>
    <row r="65" spans="1:38" s="109" customFormat="1" ht="18.75" customHeight="1" x14ac:dyDescent="0.15">
      <c r="A65" s="193"/>
      <c r="B65" s="194"/>
      <c r="C65" s="99"/>
      <c r="D65" s="100"/>
      <c r="E65" s="103"/>
      <c r="F65" s="100"/>
      <c r="G65" s="101"/>
      <c r="H65" s="362"/>
      <c r="I65" s="207" t="s">
        <v>184</v>
      </c>
      <c r="J65" s="105" t="s">
        <v>166</v>
      </c>
      <c r="K65" s="131"/>
      <c r="L65" s="131"/>
      <c r="M65" s="131"/>
      <c r="N65" s="131"/>
      <c r="O65" s="131"/>
      <c r="P65" s="131"/>
      <c r="Q65" s="209" t="s">
        <v>184</v>
      </c>
      <c r="R65" s="105" t="s">
        <v>167</v>
      </c>
      <c r="S65" s="202"/>
      <c r="T65" s="131"/>
      <c r="U65" s="131"/>
      <c r="V65" s="131"/>
      <c r="W65" s="131"/>
      <c r="X65" s="132"/>
      <c r="Y65" s="133"/>
      <c r="Z65" s="95"/>
      <c r="AA65" s="95"/>
      <c r="AB65" s="96"/>
      <c r="AC65" s="409"/>
      <c r="AD65" s="409"/>
      <c r="AE65" s="409"/>
      <c r="AF65" s="409"/>
    </row>
    <row r="66" spans="1:38" s="109" customFormat="1" ht="18.75" customHeight="1" x14ac:dyDescent="0.15">
      <c r="A66" s="193"/>
      <c r="B66" s="194"/>
      <c r="C66" s="99"/>
      <c r="D66" s="100"/>
      <c r="E66" s="103"/>
      <c r="F66" s="100"/>
      <c r="G66" s="101"/>
      <c r="H66" s="184" t="s">
        <v>199</v>
      </c>
      <c r="I66" s="134" t="s">
        <v>184</v>
      </c>
      <c r="J66" s="135" t="s">
        <v>142</v>
      </c>
      <c r="K66" s="135"/>
      <c r="L66" s="138" t="s">
        <v>184</v>
      </c>
      <c r="M66" s="135" t="s">
        <v>143</v>
      </c>
      <c r="N66" s="135"/>
      <c r="O66" s="138" t="s">
        <v>184</v>
      </c>
      <c r="P66" s="135" t="s">
        <v>144</v>
      </c>
      <c r="Q66" s="140"/>
      <c r="R66" s="140"/>
      <c r="S66" s="140"/>
      <c r="T66" s="140"/>
      <c r="U66" s="185"/>
      <c r="V66" s="185"/>
      <c r="W66" s="185"/>
      <c r="X66" s="186"/>
      <c r="Y66" s="133"/>
      <c r="Z66" s="95"/>
      <c r="AA66" s="95"/>
      <c r="AB66" s="96"/>
      <c r="AC66" s="409"/>
      <c r="AD66" s="409"/>
      <c r="AE66" s="409"/>
      <c r="AF66" s="409"/>
      <c r="AI66" s="109" t="str">
        <f>"2A:field225:" &amp; IF(I66="■",1,IF(L66="■",2,IF(O66="■",3,0)))</f>
        <v>2A:field225:0</v>
      </c>
    </row>
    <row r="67" spans="1:38" s="109" customFormat="1" ht="18.75" customHeight="1" x14ac:dyDescent="0.15">
      <c r="A67" s="193"/>
      <c r="B67" s="194"/>
      <c r="C67" s="99"/>
      <c r="D67" s="100"/>
      <c r="E67" s="103"/>
      <c r="F67" s="100"/>
      <c r="G67" s="101"/>
      <c r="H67" s="176" t="s">
        <v>96</v>
      </c>
      <c r="I67" s="134" t="s">
        <v>184</v>
      </c>
      <c r="J67" s="135" t="s">
        <v>142</v>
      </c>
      <c r="K67" s="135"/>
      <c r="L67" s="138" t="s">
        <v>184</v>
      </c>
      <c r="M67" s="135" t="s">
        <v>146</v>
      </c>
      <c r="N67" s="135"/>
      <c r="O67" s="138" t="s">
        <v>184</v>
      </c>
      <c r="P67" s="135" t="s">
        <v>147</v>
      </c>
      <c r="Q67" s="210"/>
      <c r="R67" s="138" t="s">
        <v>184</v>
      </c>
      <c r="S67" s="135" t="s">
        <v>151</v>
      </c>
      <c r="T67" s="210"/>
      <c r="U67" s="210"/>
      <c r="V67" s="210"/>
      <c r="W67" s="210"/>
      <c r="X67" s="167"/>
      <c r="Y67" s="133"/>
      <c r="Z67" s="95"/>
      <c r="AA67" s="95"/>
      <c r="AB67" s="96"/>
      <c r="AC67" s="409"/>
      <c r="AD67" s="409"/>
      <c r="AE67" s="409"/>
      <c r="AF67" s="409"/>
      <c r="AI67" s="109" t="str">
        <f>"2A:serteikyo_kyoka_code:" &amp; IF(I67="■",1,IF(L67="■",6,IF(O67="■",5,IF(R67="■",7,0))))</f>
        <v>2A:serteikyo_kyoka_code:0</v>
      </c>
    </row>
    <row r="68" spans="1:38" s="109" customFormat="1" ht="18.75" customHeight="1" x14ac:dyDescent="0.15">
      <c r="A68" s="193"/>
      <c r="B68" s="194"/>
      <c r="C68" s="99"/>
      <c r="D68" s="100"/>
      <c r="E68" s="103"/>
      <c r="F68" s="100"/>
      <c r="G68" s="101"/>
      <c r="H68" s="367" t="s">
        <v>209</v>
      </c>
      <c r="I68" s="411" t="s">
        <v>184</v>
      </c>
      <c r="J68" s="412" t="s">
        <v>142</v>
      </c>
      <c r="K68" s="412"/>
      <c r="L68" s="413" t="s">
        <v>184</v>
      </c>
      <c r="M68" s="412" t="s">
        <v>150</v>
      </c>
      <c r="N68" s="412"/>
      <c r="O68" s="146"/>
      <c r="P68" s="146"/>
      <c r="Q68" s="146"/>
      <c r="R68" s="146"/>
      <c r="S68" s="146"/>
      <c r="T68" s="146"/>
      <c r="U68" s="146"/>
      <c r="V68" s="146"/>
      <c r="W68" s="146"/>
      <c r="X68" s="149"/>
      <c r="Y68" s="133"/>
      <c r="Z68" s="95"/>
      <c r="AA68" s="95"/>
      <c r="AB68" s="96"/>
      <c r="AC68" s="409"/>
      <c r="AD68" s="409"/>
      <c r="AE68" s="409"/>
      <c r="AF68" s="409"/>
      <c r="AI68" s="109" t="str">
        <f>"2A:field221:" &amp; IF(I68="■",1,IF(L68="■",2,0))</f>
        <v>2A:field221:0</v>
      </c>
    </row>
    <row r="69" spans="1:38" s="109" customFormat="1" ht="18.75" customHeight="1" x14ac:dyDescent="0.15">
      <c r="A69" s="193"/>
      <c r="B69" s="194"/>
      <c r="C69" s="99"/>
      <c r="D69" s="100"/>
      <c r="E69" s="103"/>
      <c r="F69" s="100"/>
      <c r="G69" s="101"/>
      <c r="H69" s="368"/>
      <c r="I69" s="411"/>
      <c r="J69" s="412"/>
      <c r="K69" s="412"/>
      <c r="L69" s="413"/>
      <c r="M69" s="412"/>
      <c r="N69" s="412"/>
      <c r="O69" s="105"/>
      <c r="P69" s="105"/>
      <c r="Q69" s="105"/>
      <c r="R69" s="105"/>
      <c r="S69" s="105"/>
      <c r="T69" s="105"/>
      <c r="U69" s="105"/>
      <c r="V69" s="105"/>
      <c r="W69" s="105"/>
      <c r="X69" s="147"/>
      <c r="Y69" s="133"/>
      <c r="Z69" s="95"/>
      <c r="AA69" s="95"/>
      <c r="AB69" s="96"/>
      <c r="AC69" s="409"/>
      <c r="AD69" s="409"/>
      <c r="AE69" s="409"/>
      <c r="AF69" s="409"/>
    </row>
    <row r="70" spans="1:38" s="109" customFormat="1" ht="18.75" customHeight="1" x14ac:dyDescent="0.15">
      <c r="A70" s="152"/>
      <c r="B70" s="198"/>
      <c r="C70" s="154"/>
      <c r="D70" s="155"/>
      <c r="E70" s="156"/>
      <c r="F70" s="157"/>
      <c r="G70" s="158"/>
      <c r="H70" s="85" t="s">
        <v>208</v>
      </c>
      <c r="I70" s="159" t="s">
        <v>184</v>
      </c>
      <c r="J70" s="86" t="s">
        <v>142</v>
      </c>
      <c r="K70" s="86"/>
      <c r="L70" s="160" t="s">
        <v>184</v>
      </c>
      <c r="M70" s="86" t="s">
        <v>195</v>
      </c>
      <c r="N70" s="87"/>
      <c r="O70" s="160" t="s">
        <v>184</v>
      </c>
      <c r="P70" s="89" t="s">
        <v>196</v>
      </c>
      <c r="Q70" s="88"/>
      <c r="R70" s="160" t="s">
        <v>184</v>
      </c>
      <c r="S70" s="86" t="s">
        <v>197</v>
      </c>
      <c r="T70" s="88"/>
      <c r="U70" s="160" t="s">
        <v>184</v>
      </c>
      <c r="V70" s="86" t="s">
        <v>198</v>
      </c>
      <c r="W70" s="90"/>
      <c r="X70" s="91"/>
      <c r="Y70" s="161"/>
      <c r="Z70" s="161"/>
      <c r="AA70" s="161"/>
      <c r="AB70" s="162"/>
      <c r="AC70" s="410"/>
      <c r="AD70" s="410"/>
      <c r="AE70" s="410"/>
      <c r="AF70" s="410"/>
      <c r="AI70" s="109" t="str">
        <f>"2A:shoguukaizen_code:"&amp;IF(I70="■",1,IF(L70="■",7,IF(O70="■",8,IF(R70="■",9,IF(U70="■","A",0)))))</f>
        <v>2A:shoguukaizen_code:0</v>
      </c>
    </row>
    <row r="71" spans="1:38" s="109" customFormat="1" ht="18.75" customHeight="1" x14ac:dyDescent="0.15">
      <c r="A71" s="191"/>
      <c r="B71" s="192"/>
      <c r="C71" s="121"/>
      <c r="D71" s="122"/>
      <c r="E71" s="124"/>
      <c r="F71" s="122"/>
      <c r="G71" s="116"/>
      <c r="H71" s="352" t="s">
        <v>89</v>
      </c>
      <c r="I71" s="195" t="s">
        <v>184</v>
      </c>
      <c r="J71" s="114" t="s">
        <v>153</v>
      </c>
      <c r="K71" s="199"/>
      <c r="L71" s="178"/>
      <c r="M71" s="197" t="s">
        <v>184</v>
      </c>
      <c r="N71" s="114" t="s">
        <v>157</v>
      </c>
      <c r="O71" s="196"/>
      <c r="P71" s="196"/>
      <c r="Q71" s="197" t="s">
        <v>184</v>
      </c>
      <c r="R71" s="114" t="s">
        <v>158</v>
      </c>
      <c r="S71" s="196"/>
      <c r="T71" s="196"/>
      <c r="U71" s="197" t="s">
        <v>184</v>
      </c>
      <c r="V71" s="114" t="s">
        <v>159</v>
      </c>
      <c r="W71" s="196"/>
      <c r="X71" s="172"/>
      <c r="Y71" s="197" t="s">
        <v>184</v>
      </c>
      <c r="Z71" s="114" t="s">
        <v>141</v>
      </c>
      <c r="AA71" s="114"/>
      <c r="AB71" s="127"/>
      <c r="AC71" s="407"/>
      <c r="AD71" s="407"/>
      <c r="AE71" s="407"/>
      <c r="AF71" s="407"/>
      <c r="AG71" s="109" t="str">
        <f>"ser_code = '" &amp; IF(A83="■","2A","") &amp; "'"</f>
        <v>ser_code = ''</v>
      </c>
      <c r="AH71" s="109" t="str">
        <f>"2A:jininkbn_code:"&amp;IF(F82="■",1,IF(F83="■",2,IF(F84="■",3,0)))</f>
        <v>2A:jininkbn_code:0</v>
      </c>
      <c r="AI71" s="109" t="str">
        <f>"2A:yakan_kinmu_code:" &amp; IF(I71="■",1,IF(M71="■",2,IF(Q71="■",3,IF(U71="■",7,IF(I72="■",5,IF(M72="■",6,0))))))</f>
        <v>2A:yakan_kinmu_code:0</v>
      </c>
      <c r="AJ71" s="109" t="str">
        <f>"2A:field203:" &amp; IF(Y71="■",1,IF(Y72="■",2,0))</f>
        <v>2A:field203:0</v>
      </c>
    </row>
    <row r="72" spans="1:38" s="109" customFormat="1" ht="18.75" customHeight="1" x14ac:dyDescent="0.15">
      <c r="A72" s="193"/>
      <c r="B72" s="194"/>
      <c r="C72" s="99"/>
      <c r="D72" s="100"/>
      <c r="E72" s="103"/>
      <c r="F72" s="100"/>
      <c r="G72" s="101"/>
      <c r="H72" s="362"/>
      <c r="I72" s="207" t="s">
        <v>184</v>
      </c>
      <c r="J72" s="105" t="s">
        <v>160</v>
      </c>
      <c r="K72" s="150"/>
      <c r="L72" s="106"/>
      <c r="M72" s="209" t="s">
        <v>184</v>
      </c>
      <c r="N72" s="105" t="s">
        <v>154</v>
      </c>
      <c r="O72" s="202"/>
      <c r="P72" s="202"/>
      <c r="Q72" s="202"/>
      <c r="R72" s="202"/>
      <c r="S72" s="202"/>
      <c r="T72" s="202"/>
      <c r="U72" s="202"/>
      <c r="V72" s="202"/>
      <c r="W72" s="202"/>
      <c r="X72" s="211"/>
      <c r="Y72" s="174" t="s">
        <v>184</v>
      </c>
      <c r="Z72" s="94" t="s">
        <v>145</v>
      </c>
      <c r="AA72" s="95"/>
      <c r="AB72" s="96"/>
      <c r="AC72" s="408"/>
      <c r="AD72" s="408"/>
      <c r="AE72" s="408"/>
      <c r="AF72" s="408"/>
      <c r="AG72" s="109" t="str">
        <f>"2A:sisetukbn_code:"&amp;IF(D83="■","2",0)</f>
        <v>2A:sisetukbn_code:0</v>
      </c>
    </row>
    <row r="73" spans="1:38" s="109" customFormat="1" ht="18.75" customHeight="1" x14ac:dyDescent="0.15">
      <c r="A73" s="193"/>
      <c r="B73" s="194"/>
      <c r="C73" s="99"/>
      <c r="D73" s="100"/>
      <c r="E73" s="103"/>
      <c r="F73" s="100"/>
      <c r="G73" s="101"/>
      <c r="H73" s="366" t="s">
        <v>87</v>
      </c>
      <c r="I73" s="206" t="s">
        <v>184</v>
      </c>
      <c r="J73" s="146" t="s">
        <v>142</v>
      </c>
      <c r="K73" s="146"/>
      <c r="L73" s="171"/>
      <c r="M73" s="208" t="s">
        <v>184</v>
      </c>
      <c r="N73" s="146" t="s">
        <v>152</v>
      </c>
      <c r="O73" s="146"/>
      <c r="P73" s="171"/>
      <c r="Q73" s="208" t="s">
        <v>184</v>
      </c>
      <c r="R73" s="205" t="s">
        <v>173</v>
      </c>
      <c r="S73" s="205"/>
      <c r="T73" s="205"/>
      <c r="U73" s="185"/>
      <c r="V73" s="171"/>
      <c r="W73" s="205"/>
      <c r="X73" s="186"/>
      <c r="Y73" s="133"/>
      <c r="Z73" s="95"/>
      <c r="AA73" s="95"/>
      <c r="AB73" s="96"/>
      <c r="AC73" s="409"/>
      <c r="AD73" s="409"/>
      <c r="AE73" s="409"/>
      <c r="AF73" s="409"/>
      <c r="AI73" s="109" t="str">
        <f>"2A:"&amp;IF(AND(I73="□",M73="□",Q73="□",I74="□",M74="□"),"ketu_doctor_code:0",IF(I73="■","ketu_doctor_code:1:field197:1:ketu_kangos_code:1:ketu_kshoku_code:1",IF(M73="■","ketu_doctor_code:2","ketu_doctor_code:1")
&amp;IF(Q73="■",":field197:2",":field197:1")
&amp;IF(I74="■",":ketu_kangos_code:2",":ketu_kangos_code:1")
&amp;IF(M74="■",":ketu_kshoku_code:2",":ketu_kshoku_code:1")))</f>
        <v>2A:ketu_doctor_code:0</v>
      </c>
    </row>
    <row r="74" spans="1:38" s="109" customFormat="1" ht="18.75" customHeight="1" x14ac:dyDescent="0.15">
      <c r="A74" s="193"/>
      <c r="B74" s="194"/>
      <c r="C74" s="99"/>
      <c r="D74" s="100"/>
      <c r="E74" s="103"/>
      <c r="F74" s="100"/>
      <c r="G74" s="101"/>
      <c r="H74" s="362"/>
      <c r="I74" s="207" t="s">
        <v>184</v>
      </c>
      <c r="J74" s="202" t="s">
        <v>174</v>
      </c>
      <c r="K74" s="202"/>
      <c r="L74" s="202"/>
      <c r="M74" s="209" t="s">
        <v>184</v>
      </c>
      <c r="N74" s="202" t="s">
        <v>175</v>
      </c>
      <c r="O74" s="106"/>
      <c r="P74" s="202"/>
      <c r="Q74" s="202"/>
      <c r="R74" s="106"/>
      <c r="S74" s="202"/>
      <c r="T74" s="202"/>
      <c r="U74" s="131"/>
      <c r="V74" s="106"/>
      <c r="W74" s="202"/>
      <c r="X74" s="132"/>
      <c r="Y74" s="133"/>
      <c r="Z74" s="95"/>
      <c r="AA74" s="95"/>
      <c r="AB74" s="96"/>
      <c r="AC74" s="409"/>
      <c r="AD74" s="409"/>
      <c r="AE74" s="409"/>
      <c r="AF74" s="409"/>
    </row>
    <row r="75" spans="1:38" s="109" customFormat="1" ht="18.75" customHeight="1" x14ac:dyDescent="0.15">
      <c r="A75" s="97"/>
      <c r="B75" s="204"/>
      <c r="C75" s="182"/>
      <c r="D75" s="183"/>
      <c r="E75" s="101"/>
      <c r="F75" s="102"/>
      <c r="G75" s="103"/>
      <c r="H75" s="180" t="s">
        <v>92</v>
      </c>
      <c r="I75" s="134" t="s">
        <v>184</v>
      </c>
      <c r="J75" s="135" t="s">
        <v>185</v>
      </c>
      <c r="K75" s="136"/>
      <c r="L75" s="137"/>
      <c r="M75" s="138" t="s">
        <v>184</v>
      </c>
      <c r="N75" s="135" t="s">
        <v>186</v>
      </c>
      <c r="O75" s="136"/>
      <c r="P75" s="136"/>
      <c r="Q75" s="136"/>
      <c r="R75" s="136"/>
      <c r="S75" s="136"/>
      <c r="T75" s="136"/>
      <c r="U75" s="136"/>
      <c r="V75" s="136"/>
      <c r="W75" s="136"/>
      <c r="X75" s="144"/>
      <c r="Y75" s="133"/>
      <c r="Z75" s="95"/>
      <c r="AA75" s="95"/>
      <c r="AB75" s="96"/>
      <c r="AC75" s="409"/>
      <c r="AD75" s="409"/>
      <c r="AE75" s="409"/>
      <c r="AF75" s="409"/>
      <c r="AI75" s="109" t="str">
        <f>"2A:sintaikousoku_code:" &amp; IF(I75="■",1,IF(M75="■",2,0))</f>
        <v>2A:sintaikousoku_code:0</v>
      </c>
    </row>
    <row r="76" spans="1:38" s="109" customFormat="1" ht="19.5" customHeight="1" x14ac:dyDescent="0.15">
      <c r="A76" s="97"/>
      <c r="B76" s="204"/>
      <c r="C76" s="99"/>
      <c r="D76" s="100"/>
      <c r="E76" s="101"/>
      <c r="F76" s="102"/>
      <c r="G76" s="103"/>
      <c r="H76" s="104" t="s">
        <v>192</v>
      </c>
      <c r="I76" s="134" t="s">
        <v>184</v>
      </c>
      <c r="J76" s="135" t="s">
        <v>185</v>
      </c>
      <c r="K76" s="136"/>
      <c r="L76" s="137"/>
      <c r="M76" s="138" t="s">
        <v>184</v>
      </c>
      <c r="N76" s="135" t="s">
        <v>193</v>
      </c>
      <c r="O76" s="139"/>
      <c r="P76" s="135"/>
      <c r="Q76" s="140"/>
      <c r="R76" s="140"/>
      <c r="S76" s="140"/>
      <c r="T76" s="140"/>
      <c r="U76" s="140"/>
      <c r="V76" s="140"/>
      <c r="W76" s="140"/>
      <c r="X76" s="141"/>
      <c r="Y76" s="95"/>
      <c r="Z76" s="95"/>
      <c r="AA76" s="95"/>
      <c r="AB76" s="96"/>
      <c r="AC76" s="409"/>
      <c r="AD76" s="409"/>
      <c r="AE76" s="409"/>
      <c r="AF76" s="409"/>
      <c r="AI76" s="109" t="str">
        <f>"2A:field223:" &amp; IF(I76="■",1,IF(M76="■",2,0))</f>
        <v>2A:field223:0</v>
      </c>
    </row>
    <row r="77" spans="1:38" s="109" customFormat="1" ht="19.5" customHeight="1" x14ac:dyDescent="0.15">
      <c r="A77" s="97"/>
      <c r="B77" s="204"/>
      <c r="C77" s="99"/>
      <c r="D77" s="100"/>
      <c r="E77" s="101"/>
      <c r="F77" s="102"/>
      <c r="G77" s="103"/>
      <c r="H77" s="104" t="s">
        <v>201</v>
      </c>
      <c r="I77" s="134" t="s">
        <v>184</v>
      </c>
      <c r="J77" s="135" t="s">
        <v>185</v>
      </c>
      <c r="K77" s="136"/>
      <c r="L77" s="137"/>
      <c r="M77" s="138" t="s">
        <v>184</v>
      </c>
      <c r="N77" s="135" t="s">
        <v>193</v>
      </c>
      <c r="O77" s="139"/>
      <c r="P77" s="135"/>
      <c r="Q77" s="140"/>
      <c r="R77" s="140"/>
      <c r="S77" s="140"/>
      <c r="T77" s="140"/>
      <c r="U77" s="140"/>
      <c r="V77" s="140"/>
      <c r="W77" s="140"/>
      <c r="X77" s="141"/>
      <c r="Y77" s="95"/>
      <c r="Z77" s="95"/>
      <c r="AA77" s="95"/>
      <c r="AB77" s="96"/>
      <c r="AC77" s="409"/>
      <c r="AD77" s="409"/>
      <c r="AE77" s="409"/>
      <c r="AF77" s="409"/>
      <c r="AI77" s="109" t="str">
        <f>"2A:field232:" &amp; IF(I77="■",1,IF(M77="■",2,0))</f>
        <v>2A:field232:0</v>
      </c>
    </row>
    <row r="78" spans="1:38" ht="19.5" customHeight="1" x14ac:dyDescent="0.15">
      <c r="A78" s="97"/>
      <c r="B78" s="204"/>
      <c r="C78" s="99"/>
      <c r="D78" s="100"/>
      <c r="E78" s="101"/>
      <c r="F78" s="102"/>
      <c r="G78" s="103"/>
      <c r="H78" s="104" t="s">
        <v>222</v>
      </c>
      <c r="I78" s="134" t="s">
        <v>184</v>
      </c>
      <c r="J78" s="105" t="s">
        <v>220</v>
      </c>
      <c r="K78" s="150"/>
      <c r="L78" s="106"/>
      <c r="M78" s="138" t="s">
        <v>184</v>
      </c>
      <c r="N78" s="105" t="s">
        <v>221</v>
      </c>
      <c r="O78" s="181"/>
      <c r="P78" s="105"/>
      <c r="Q78" s="131"/>
      <c r="R78" s="131"/>
      <c r="S78" s="131"/>
      <c r="T78" s="131"/>
      <c r="U78" s="131"/>
      <c r="V78" s="131"/>
      <c r="W78" s="131"/>
      <c r="X78" s="132"/>
      <c r="Y78" s="148"/>
      <c r="Z78" s="94"/>
      <c r="AA78" s="95"/>
      <c r="AB78" s="96"/>
      <c r="AC78" s="409"/>
      <c r="AD78" s="409"/>
      <c r="AE78" s="409"/>
      <c r="AF78" s="409"/>
      <c r="AG78" s="145"/>
      <c r="AH78" s="145"/>
      <c r="AI78" s="109" t="str">
        <f>"2A:field242:" &amp; IF(I78="■",1,IF(M78="■",2,0))</f>
        <v>2A:field242:0</v>
      </c>
      <c r="AJ78" s="145"/>
      <c r="AK78" s="145"/>
      <c r="AL78" s="145"/>
    </row>
    <row r="79" spans="1:38" s="109" customFormat="1" ht="18.75" customHeight="1" x14ac:dyDescent="0.15">
      <c r="A79" s="193"/>
      <c r="B79" s="194"/>
      <c r="C79" s="99"/>
      <c r="D79" s="100"/>
      <c r="E79" s="103"/>
      <c r="F79" s="100"/>
      <c r="G79" s="101"/>
      <c r="H79" s="180" t="s">
        <v>112</v>
      </c>
      <c r="I79" s="134" t="s">
        <v>184</v>
      </c>
      <c r="J79" s="135" t="s">
        <v>153</v>
      </c>
      <c r="K79" s="136"/>
      <c r="L79" s="137"/>
      <c r="M79" s="138" t="s">
        <v>184</v>
      </c>
      <c r="N79" s="135" t="s">
        <v>161</v>
      </c>
      <c r="O79" s="140"/>
      <c r="P79" s="140"/>
      <c r="Q79" s="140"/>
      <c r="R79" s="140"/>
      <c r="S79" s="140"/>
      <c r="T79" s="140"/>
      <c r="U79" s="140"/>
      <c r="V79" s="140"/>
      <c r="W79" s="140"/>
      <c r="X79" s="141"/>
      <c r="Y79" s="133"/>
      <c r="Z79" s="95"/>
      <c r="AA79" s="95"/>
      <c r="AB79" s="96"/>
      <c r="AC79" s="409"/>
      <c r="AD79" s="409"/>
      <c r="AE79" s="409"/>
      <c r="AF79" s="409"/>
      <c r="AI79" s="109" t="str">
        <f>"2A:field190:" &amp; IF(I79="■",1,IF(M79="■",2,0))</f>
        <v>2A:field190:0</v>
      </c>
    </row>
    <row r="80" spans="1:38" s="109" customFormat="1" ht="18.75" customHeight="1" x14ac:dyDescent="0.15">
      <c r="A80" s="193"/>
      <c r="B80" s="194"/>
      <c r="C80" s="99"/>
      <c r="D80" s="100"/>
      <c r="E80" s="103"/>
      <c r="F80" s="100"/>
      <c r="G80" s="101"/>
      <c r="H80" s="180" t="s">
        <v>113</v>
      </c>
      <c r="I80" s="134" t="s">
        <v>184</v>
      </c>
      <c r="J80" s="135" t="s">
        <v>153</v>
      </c>
      <c r="K80" s="136"/>
      <c r="L80" s="137"/>
      <c r="M80" s="138" t="s">
        <v>184</v>
      </c>
      <c r="N80" s="135" t="s">
        <v>161</v>
      </c>
      <c r="O80" s="140"/>
      <c r="P80" s="140"/>
      <c r="Q80" s="140"/>
      <c r="R80" s="140"/>
      <c r="S80" s="140"/>
      <c r="T80" s="140"/>
      <c r="U80" s="140"/>
      <c r="V80" s="140"/>
      <c r="W80" s="140"/>
      <c r="X80" s="141"/>
      <c r="Y80" s="133"/>
      <c r="Z80" s="95"/>
      <c r="AA80" s="95"/>
      <c r="AB80" s="96"/>
      <c r="AC80" s="409"/>
      <c r="AD80" s="409"/>
      <c r="AE80" s="409"/>
      <c r="AF80" s="409"/>
      <c r="AI80" s="109" t="str">
        <f>"2A:field191:" &amp; IF(I80="■",1,IF(M80="■",2,0))</f>
        <v>2A:field191:0</v>
      </c>
    </row>
    <row r="81" spans="1:36" s="109" customFormat="1" ht="18.75" customHeight="1" x14ac:dyDescent="0.15">
      <c r="A81" s="193"/>
      <c r="B81" s="194"/>
      <c r="C81" s="99"/>
      <c r="D81" s="100"/>
      <c r="E81" s="103"/>
      <c r="F81" s="100"/>
      <c r="G81" s="101"/>
      <c r="H81" s="180" t="s">
        <v>93</v>
      </c>
      <c r="I81" s="134" t="s">
        <v>184</v>
      </c>
      <c r="J81" s="135" t="s">
        <v>142</v>
      </c>
      <c r="K81" s="136"/>
      <c r="L81" s="138" t="s">
        <v>184</v>
      </c>
      <c r="M81" s="135" t="s">
        <v>150</v>
      </c>
      <c r="N81" s="140"/>
      <c r="O81" s="140"/>
      <c r="P81" s="140"/>
      <c r="Q81" s="140"/>
      <c r="R81" s="140"/>
      <c r="S81" s="140"/>
      <c r="T81" s="140"/>
      <c r="U81" s="140"/>
      <c r="V81" s="140"/>
      <c r="W81" s="140"/>
      <c r="X81" s="141"/>
      <c r="Y81" s="133"/>
      <c r="Z81" s="95"/>
      <c r="AA81" s="95"/>
      <c r="AB81" s="96"/>
      <c r="AC81" s="409"/>
      <c r="AD81" s="409"/>
      <c r="AE81" s="409"/>
      <c r="AF81" s="409"/>
      <c r="AI81" s="109" t="str">
        <f>"2A:jyakuninti_uke_code:" &amp; IF(I81="■",1,IF(L81="■",2,0))</f>
        <v>2A:jyakuninti_uke_code:0</v>
      </c>
    </row>
    <row r="82" spans="1:36" s="109" customFormat="1" ht="18.75" customHeight="1" x14ac:dyDescent="0.15">
      <c r="A82" s="193"/>
      <c r="B82" s="194"/>
      <c r="C82" s="99"/>
      <c r="D82" s="100"/>
      <c r="E82" s="103"/>
      <c r="F82" s="174" t="s">
        <v>184</v>
      </c>
      <c r="G82" s="101" t="s">
        <v>176</v>
      </c>
      <c r="H82" s="180" t="s">
        <v>88</v>
      </c>
      <c r="I82" s="134" t="s">
        <v>184</v>
      </c>
      <c r="J82" s="135" t="s">
        <v>148</v>
      </c>
      <c r="K82" s="136"/>
      <c r="L82" s="137"/>
      <c r="M82" s="138" t="s">
        <v>184</v>
      </c>
      <c r="N82" s="135" t="s">
        <v>149</v>
      </c>
      <c r="O82" s="140"/>
      <c r="P82" s="140"/>
      <c r="Q82" s="140"/>
      <c r="R82" s="140"/>
      <c r="S82" s="140"/>
      <c r="T82" s="140"/>
      <c r="U82" s="140"/>
      <c r="V82" s="140"/>
      <c r="W82" s="140"/>
      <c r="X82" s="141"/>
      <c r="Y82" s="133"/>
      <c r="Z82" s="95"/>
      <c r="AA82" s="95"/>
      <c r="AB82" s="96"/>
      <c r="AC82" s="409"/>
      <c r="AD82" s="409"/>
      <c r="AE82" s="409"/>
      <c r="AF82" s="409"/>
      <c r="AI82" s="109" t="str">
        <f>"2A:sougei_code:" &amp; IF(I82="■",1,IF(M82="■",2,0))</f>
        <v>2A:sougei_code:0</v>
      </c>
    </row>
    <row r="83" spans="1:36" s="109" customFormat="1" ht="19.5" customHeight="1" x14ac:dyDescent="0.15">
      <c r="A83" s="173" t="s">
        <v>184</v>
      </c>
      <c r="B83" s="194" t="s">
        <v>129</v>
      </c>
      <c r="C83" s="99" t="s">
        <v>119</v>
      </c>
      <c r="D83" s="174" t="s">
        <v>184</v>
      </c>
      <c r="E83" s="103" t="s">
        <v>179</v>
      </c>
      <c r="F83" s="174" t="s">
        <v>184</v>
      </c>
      <c r="G83" s="101" t="s">
        <v>177</v>
      </c>
      <c r="H83" s="104" t="s">
        <v>194</v>
      </c>
      <c r="I83" s="134" t="s">
        <v>184</v>
      </c>
      <c r="J83" s="135" t="s">
        <v>142</v>
      </c>
      <c r="K83" s="135"/>
      <c r="L83" s="138" t="s">
        <v>184</v>
      </c>
      <c r="M83" s="135" t="s">
        <v>150</v>
      </c>
      <c r="N83" s="135"/>
      <c r="O83" s="140"/>
      <c r="P83" s="135"/>
      <c r="Q83" s="140"/>
      <c r="R83" s="140"/>
      <c r="S83" s="140"/>
      <c r="T83" s="140"/>
      <c r="U83" s="140"/>
      <c r="V83" s="140"/>
      <c r="W83" s="140"/>
      <c r="X83" s="141"/>
      <c r="Y83" s="95"/>
      <c r="Z83" s="95"/>
      <c r="AA83" s="95"/>
      <c r="AB83" s="96"/>
      <c r="AC83" s="409"/>
      <c r="AD83" s="409"/>
      <c r="AE83" s="409"/>
      <c r="AF83" s="409"/>
      <c r="AI83" s="109" t="str">
        <f>"2A:field224:" &amp; IF(I83="■",1,IF(L83="■",2,0))</f>
        <v>2A:field224:0</v>
      </c>
    </row>
    <row r="84" spans="1:36" s="109" customFormat="1" ht="18.75" customHeight="1" x14ac:dyDescent="0.15">
      <c r="A84" s="193"/>
      <c r="B84" s="194"/>
      <c r="C84" s="99"/>
      <c r="D84" s="100"/>
      <c r="E84" s="103"/>
      <c r="F84" s="174" t="s">
        <v>184</v>
      </c>
      <c r="G84" s="101" t="s">
        <v>178</v>
      </c>
      <c r="H84" s="180" t="s">
        <v>94</v>
      </c>
      <c r="I84" s="134" t="s">
        <v>184</v>
      </c>
      <c r="J84" s="135" t="s">
        <v>142</v>
      </c>
      <c r="K84" s="136"/>
      <c r="L84" s="138" t="s">
        <v>184</v>
      </c>
      <c r="M84" s="135" t="s">
        <v>150</v>
      </c>
      <c r="N84" s="140"/>
      <c r="O84" s="140"/>
      <c r="P84" s="140"/>
      <c r="Q84" s="140"/>
      <c r="R84" s="140"/>
      <c r="S84" s="140"/>
      <c r="T84" s="140"/>
      <c r="U84" s="140"/>
      <c r="V84" s="140"/>
      <c r="W84" s="140"/>
      <c r="X84" s="141"/>
      <c r="Y84" s="133"/>
      <c r="Z84" s="95"/>
      <c r="AA84" s="95"/>
      <c r="AB84" s="96"/>
      <c r="AC84" s="409"/>
      <c r="AD84" s="409"/>
      <c r="AE84" s="409"/>
      <c r="AF84" s="409"/>
      <c r="AI84" s="109" t="str">
        <f>"2A:ryouyoushoku_code:" &amp; IF(I84="■",1,IF(L84="■",2,0))</f>
        <v>2A:ryouyoushoku_code:0</v>
      </c>
    </row>
    <row r="85" spans="1:36" s="109" customFormat="1" ht="18.75" customHeight="1" x14ac:dyDescent="0.15">
      <c r="A85" s="193"/>
      <c r="B85" s="194"/>
      <c r="C85" s="99"/>
      <c r="D85" s="100"/>
      <c r="E85" s="103"/>
      <c r="F85" s="100"/>
      <c r="G85" s="101"/>
      <c r="H85" s="180" t="s">
        <v>95</v>
      </c>
      <c r="I85" s="134" t="s">
        <v>184</v>
      </c>
      <c r="J85" s="135" t="s">
        <v>142</v>
      </c>
      <c r="K85" s="135"/>
      <c r="L85" s="138" t="s">
        <v>184</v>
      </c>
      <c r="M85" s="135" t="s">
        <v>143</v>
      </c>
      <c r="N85" s="135"/>
      <c r="O85" s="138" t="s">
        <v>184</v>
      </c>
      <c r="P85" s="135" t="s">
        <v>144</v>
      </c>
      <c r="Q85" s="140"/>
      <c r="R85" s="140"/>
      <c r="S85" s="140"/>
      <c r="T85" s="140"/>
      <c r="U85" s="140"/>
      <c r="V85" s="140"/>
      <c r="W85" s="140"/>
      <c r="X85" s="141"/>
      <c r="Y85" s="133"/>
      <c r="Z85" s="95"/>
      <c r="AA85" s="95"/>
      <c r="AB85" s="96"/>
      <c r="AC85" s="409"/>
      <c r="AD85" s="409"/>
      <c r="AE85" s="409"/>
      <c r="AF85" s="409"/>
      <c r="AI85" s="109" t="str">
        <f>"2A:ninti_senmoncare_code:" &amp; IF(I85="■",1,IF(O85="■",3,IF(L85="■",2,0)))</f>
        <v>2A:ninti_senmoncare_code:0</v>
      </c>
    </row>
    <row r="86" spans="1:36" s="109" customFormat="1" ht="18.75" customHeight="1" x14ac:dyDescent="0.15">
      <c r="A86" s="193"/>
      <c r="B86" s="194"/>
      <c r="C86" s="99"/>
      <c r="D86" s="100"/>
      <c r="E86" s="103"/>
      <c r="F86" s="100"/>
      <c r="G86" s="101"/>
      <c r="H86" s="180" t="s">
        <v>107</v>
      </c>
      <c r="I86" s="134" t="s">
        <v>184</v>
      </c>
      <c r="J86" s="135" t="s">
        <v>142</v>
      </c>
      <c r="K86" s="135"/>
      <c r="L86" s="138" t="s">
        <v>184</v>
      </c>
      <c r="M86" s="135" t="s">
        <v>143</v>
      </c>
      <c r="N86" s="135"/>
      <c r="O86" s="138" t="s">
        <v>184</v>
      </c>
      <c r="P86" s="135" t="s">
        <v>144</v>
      </c>
      <c r="Q86" s="140"/>
      <c r="R86" s="140"/>
      <c r="S86" s="140"/>
      <c r="T86" s="140"/>
      <c r="U86" s="140"/>
      <c r="V86" s="140"/>
      <c r="W86" s="140"/>
      <c r="X86" s="141"/>
      <c r="Y86" s="133"/>
      <c r="Z86" s="95"/>
      <c r="AA86" s="95"/>
      <c r="AB86" s="96"/>
      <c r="AC86" s="409"/>
      <c r="AD86" s="409"/>
      <c r="AE86" s="409"/>
      <c r="AF86" s="409"/>
      <c r="AI86" s="109" t="str">
        <f>"2A:field164:" &amp; IF(I86="■",1,IF(L86="■",2,IF(O86="■",3,0)))</f>
        <v>2A:field164:0</v>
      </c>
    </row>
    <row r="87" spans="1:36" s="109" customFormat="1" ht="18.75" customHeight="1" x14ac:dyDescent="0.15">
      <c r="A87" s="193"/>
      <c r="B87" s="194"/>
      <c r="C87" s="99"/>
      <c r="D87" s="100"/>
      <c r="E87" s="103"/>
      <c r="F87" s="100"/>
      <c r="G87" s="101"/>
      <c r="H87" s="366" t="s">
        <v>109</v>
      </c>
      <c r="I87" s="206" t="s">
        <v>184</v>
      </c>
      <c r="J87" s="146" t="s">
        <v>155</v>
      </c>
      <c r="K87" s="146"/>
      <c r="L87" s="185"/>
      <c r="M87" s="185"/>
      <c r="N87" s="185"/>
      <c r="O87" s="185"/>
      <c r="P87" s="208" t="s">
        <v>184</v>
      </c>
      <c r="Q87" s="146" t="s">
        <v>156</v>
      </c>
      <c r="R87" s="185"/>
      <c r="S87" s="185"/>
      <c r="T87" s="185"/>
      <c r="U87" s="185"/>
      <c r="V87" s="185"/>
      <c r="W87" s="185"/>
      <c r="X87" s="186"/>
      <c r="Y87" s="133"/>
      <c r="Z87" s="95"/>
      <c r="AA87" s="95"/>
      <c r="AB87" s="96"/>
      <c r="AC87" s="409"/>
      <c r="AD87" s="409"/>
      <c r="AE87" s="409"/>
      <c r="AF87" s="409"/>
      <c r="AI87" s="109" t="str">
        <f>"2A:" &amp; IF(AND(I87="□",P87="□",I88="□"),"tokusin_jyusho_code:0:tokusin_yakuzai_code:0:shuudan_comu_code:0",IF(I87="■","tokusin_jyusho_code:2","tokusin_jyusho_code:1")
&amp;IF(P87="■",":tokusin_yakuzai_code:2",":tokusin_yakuzai_code:1")
&amp;IF(I88="■",":shuudan_comu_code:2",":shuudan_comu_code:1"))</f>
        <v>2A:tokusin_jyusho_code:0:tokusin_yakuzai_code:0:shuudan_comu_code:0</v>
      </c>
    </row>
    <row r="88" spans="1:36" s="109" customFormat="1" ht="18.75" customHeight="1" x14ac:dyDescent="0.15">
      <c r="A88" s="193"/>
      <c r="B88" s="194"/>
      <c r="C88" s="99"/>
      <c r="D88" s="100"/>
      <c r="E88" s="103"/>
      <c r="F88" s="100"/>
      <c r="G88" s="101"/>
      <c r="H88" s="362"/>
      <c r="I88" s="207" t="s">
        <v>184</v>
      </c>
      <c r="J88" s="105" t="s">
        <v>162</v>
      </c>
      <c r="K88" s="131"/>
      <c r="L88" s="131"/>
      <c r="M88" s="131"/>
      <c r="N88" s="131"/>
      <c r="O88" s="131"/>
      <c r="P88" s="131"/>
      <c r="Q88" s="202"/>
      <c r="R88" s="131"/>
      <c r="S88" s="131"/>
      <c r="T88" s="131"/>
      <c r="U88" s="131"/>
      <c r="V88" s="131"/>
      <c r="W88" s="131"/>
      <c r="X88" s="132"/>
      <c r="Y88" s="133"/>
      <c r="Z88" s="95"/>
      <c r="AA88" s="95"/>
      <c r="AB88" s="96"/>
      <c r="AC88" s="409"/>
      <c r="AD88" s="409"/>
      <c r="AE88" s="409"/>
      <c r="AF88" s="409"/>
    </row>
    <row r="89" spans="1:36" s="109" customFormat="1" ht="18.75" customHeight="1" x14ac:dyDescent="0.15">
      <c r="A89" s="193"/>
      <c r="B89" s="194"/>
      <c r="C89" s="99"/>
      <c r="D89" s="100"/>
      <c r="E89" s="103"/>
      <c r="F89" s="100"/>
      <c r="G89" s="101"/>
      <c r="H89" s="366" t="s">
        <v>91</v>
      </c>
      <c r="I89" s="206" t="s">
        <v>184</v>
      </c>
      <c r="J89" s="146" t="s">
        <v>163</v>
      </c>
      <c r="K89" s="151"/>
      <c r="L89" s="171"/>
      <c r="M89" s="208" t="s">
        <v>184</v>
      </c>
      <c r="N89" s="146" t="s">
        <v>164</v>
      </c>
      <c r="O89" s="185"/>
      <c r="P89" s="185"/>
      <c r="Q89" s="208" t="s">
        <v>184</v>
      </c>
      <c r="R89" s="146" t="s">
        <v>165</v>
      </c>
      <c r="S89" s="185"/>
      <c r="T89" s="185"/>
      <c r="U89" s="185"/>
      <c r="V89" s="185"/>
      <c r="W89" s="185"/>
      <c r="X89" s="186"/>
      <c r="Y89" s="133"/>
      <c r="Z89" s="95"/>
      <c r="AA89" s="95"/>
      <c r="AB89" s="96"/>
      <c r="AC89" s="409"/>
      <c r="AD89" s="409"/>
      <c r="AE89" s="409"/>
      <c r="AF89" s="409"/>
      <c r="AI89" s="109" t="str">
        <f>"2A:"&amp;IF(AND(I89="□",M89="□",Q89="□",I90="□",Q90="□"),"koriha_rryoho1_code:0:koriha_sryoho_code:0:koriha_gengo_code:0:riha_seisin_code:0:koriha_other_code:0",IF(I89="■","koriha_rryoho1_code:2","koriha_rryoho1_code:1")
&amp;IF(M89="■",":koriha_sryoho_code:2",":koriha_sryoho_code:1")
&amp;IF(Q89="■",":koriha_gengo_code:2",":koriha_gengo_code:1")
&amp;IF(I90="■",":riha_seisin_code:2",":riha_seisin_code:1")
&amp;IF(Q90="■",":koriha_other_code:2",":koriha_other_code:1"))</f>
        <v>2A:koriha_rryoho1_code:0:koriha_sryoho_code:0:koriha_gengo_code:0:riha_seisin_code:0:koriha_other_code:0</v>
      </c>
    </row>
    <row r="90" spans="1:36" s="109" customFormat="1" ht="18.75" customHeight="1" x14ac:dyDescent="0.15">
      <c r="A90" s="193"/>
      <c r="B90" s="194"/>
      <c r="C90" s="99"/>
      <c r="D90" s="100"/>
      <c r="E90" s="103"/>
      <c r="F90" s="100"/>
      <c r="G90" s="101"/>
      <c r="H90" s="362"/>
      <c r="I90" s="207" t="s">
        <v>184</v>
      </c>
      <c r="J90" s="105" t="s">
        <v>166</v>
      </c>
      <c r="K90" s="131"/>
      <c r="L90" s="131"/>
      <c r="M90" s="131"/>
      <c r="N90" s="131"/>
      <c r="O90" s="131"/>
      <c r="P90" s="131"/>
      <c r="Q90" s="209" t="s">
        <v>184</v>
      </c>
      <c r="R90" s="105" t="s">
        <v>167</v>
      </c>
      <c r="S90" s="202"/>
      <c r="T90" s="131"/>
      <c r="U90" s="131"/>
      <c r="V90" s="131"/>
      <c r="W90" s="131"/>
      <c r="X90" s="132"/>
      <c r="Y90" s="133"/>
      <c r="Z90" s="95"/>
      <c r="AA90" s="95"/>
      <c r="AB90" s="96"/>
      <c r="AC90" s="409"/>
      <c r="AD90" s="409"/>
      <c r="AE90" s="409"/>
      <c r="AF90" s="409"/>
    </row>
    <row r="91" spans="1:36" s="109" customFormat="1" ht="18.75" customHeight="1" x14ac:dyDescent="0.15">
      <c r="A91" s="193"/>
      <c r="B91" s="194"/>
      <c r="C91" s="99"/>
      <c r="D91" s="100"/>
      <c r="E91" s="103"/>
      <c r="F91" s="100"/>
      <c r="G91" s="101"/>
      <c r="H91" s="184" t="s">
        <v>199</v>
      </c>
      <c r="I91" s="134" t="s">
        <v>184</v>
      </c>
      <c r="J91" s="135" t="s">
        <v>142</v>
      </c>
      <c r="K91" s="135"/>
      <c r="L91" s="138" t="s">
        <v>184</v>
      </c>
      <c r="M91" s="135" t="s">
        <v>143</v>
      </c>
      <c r="N91" s="135"/>
      <c r="O91" s="138" t="s">
        <v>184</v>
      </c>
      <c r="P91" s="135" t="s">
        <v>144</v>
      </c>
      <c r="Q91" s="140"/>
      <c r="R91" s="140"/>
      <c r="S91" s="140"/>
      <c r="T91" s="140"/>
      <c r="U91" s="185"/>
      <c r="V91" s="185"/>
      <c r="W91" s="185"/>
      <c r="X91" s="186"/>
      <c r="Y91" s="133"/>
      <c r="Z91" s="95"/>
      <c r="AA91" s="95"/>
      <c r="AB91" s="96"/>
      <c r="AC91" s="409"/>
      <c r="AD91" s="409"/>
      <c r="AE91" s="409"/>
      <c r="AF91" s="409"/>
      <c r="AI91" s="109" t="str">
        <f>"2A:field225:" &amp; IF(I91="■",1,IF(L91="■",2,IF(O91="■",3,0)))</f>
        <v>2A:field225:0</v>
      </c>
    </row>
    <row r="92" spans="1:36" s="109" customFormat="1" ht="18.75" customHeight="1" x14ac:dyDescent="0.15">
      <c r="A92" s="193"/>
      <c r="B92" s="194"/>
      <c r="C92" s="99"/>
      <c r="D92" s="100"/>
      <c r="E92" s="103"/>
      <c r="F92" s="100"/>
      <c r="G92" s="101"/>
      <c r="H92" s="142" t="s">
        <v>96</v>
      </c>
      <c r="I92" s="134" t="s">
        <v>184</v>
      </c>
      <c r="J92" s="135" t="s">
        <v>142</v>
      </c>
      <c r="K92" s="135"/>
      <c r="L92" s="138" t="s">
        <v>184</v>
      </c>
      <c r="M92" s="135" t="s">
        <v>146</v>
      </c>
      <c r="N92" s="135"/>
      <c r="O92" s="138" t="s">
        <v>184</v>
      </c>
      <c r="P92" s="135" t="s">
        <v>147</v>
      </c>
      <c r="Q92" s="210"/>
      <c r="R92" s="138" t="s">
        <v>184</v>
      </c>
      <c r="S92" s="135" t="s">
        <v>151</v>
      </c>
      <c r="T92" s="210"/>
      <c r="U92" s="210"/>
      <c r="V92" s="210"/>
      <c r="W92" s="210"/>
      <c r="X92" s="167"/>
      <c r="Y92" s="133"/>
      <c r="Z92" s="95"/>
      <c r="AA92" s="95"/>
      <c r="AB92" s="96"/>
      <c r="AC92" s="409"/>
      <c r="AD92" s="409"/>
      <c r="AE92" s="409"/>
      <c r="AF92" s="409"/>
      <c r="AI92" s="109" t="str">
        <f>"2A:serteikyo_kyoka_code:" &amp; IF(I92="■",1,IF(L92="■",6,IF(O92="■",5,IF(R92="■",7,0))))</f>
        <v>2A:serteikyo_kyoka_code:0</v>
      </c>
    </row>
    <row r="93" spans="1:36" s="109" customFormat="1" ht="18.75" customHeight="1" x14ac:dyDescent="0.15">
      <c r="A93" s="193"/>
      <c r="B93" s="194"/>
      <c r="C93" s="99"/>
      <c r="D93" s="100"/>
      <c r="E93" s="103"/>
      <c r="F93" s="100"/>
      <c r="G93" s="101"/>
      <c r="H93" s="367" t="s">
        <v>209</v>
      </c>
      <c r="I93" s="411" t="s">
        <v>184</v>
      </c>
      <c r="J93" s="412" t="s">
        <v>142</v>
      </c>
      <c r="K93" s="412"/>
      <c r="L93" s="413" t="s">
        <v>184</v>
      </c>
      <c r="M93" s="412" t="s">
        <v>150</v>
      </c>
      <c r="N93" s="412"/>
      <c r="O93" s="146"/>
      <c r="P93" s="146"/>
      <c r="Q93" s="146"/>
      <c r="R93" s="146"/>
      <c r="S93" s="146"/>
      <c r="T93" s="146"/>
      <c r="U93" s="146"/>
      <c r="V93" s="146"/>
      <c r="W93" s="146"/>
      <c r="X93" s="149"/>
      <c r="Y93" s="133"/>
      <c r="Z93" s="95"/>
      <c r="AA93" s="95"/>
      <c r="AB93" s="96"/>
      <c r="AC93" s="409"/>
      <c r="AD93" s="409"/>
      <c r="AE93" s="409"/>
      <c r="AF93" s="409"/>
      <c r="AI93" s="109" t="str">
        <f>"2A:field221:" &amp; IF(I93="■",1,IF(L93="■",2,0))</f>
        <v>2A:field221:0</v>
      </c>
    </row>
    <row r="94" spans="1:36" s="109" customFormat="1" ht="18.75" customHeight="1" x14ac:dyDescent="0.15">
      <c r="A94" s="193"/>
      <c r="B94" s="194"/>
      <c r="C94" s="99"/>
      <c r="D94" s="100"/>
      <c r="E94" s="103"/>
      <c r="F94" s="100"/>
      <c r="G94" s="101"/>
      <c r="H94" s="368"/>
      <c r="I94" s="411"/>
      <c r="J94" s="412"/>
      <c r="K94" s="412"/>
      <c r="L94" s="413"/>
      <c r="M94" s="412"/>
      <c r="N94" s="412"/>
      <c r="O94" s="105"/>
      <c r="P94" s="105"/>
      <c r="Q94" s="105"/>
      <c r="R94" s="105"/>
      <c r="S94" s="105"/>
      <c r="T94" s="105"/>
      <c r="U94" s="105"/>
      <c r="V94" s="105"/>
      <c r="W94" s="105"/>
      <c r="X94" s="147"/>
      <c r="Y94" s="133"/>
      <c r="Z94" s="95"/>
      <c r="AA94" s="95"/>
      <c r="AB94" s="96"/>
      <c r="AC94" s="409"/>
      <c r="AD94" s="409"/>
      <c r="AE94" s="409"/>
      <c r="AF94" s="409"/>
    </row>
    <row r="95" spans="1:36" s="109" customFormat="1" ht="18.75" customHeight="1" x14ac:dyDescent="0.15">
      <c r="A95" s="97"/>
      <c r="B95" s="204"/>
      <c r="C95" s="99"/>
      <c r="D95" s="100"/>
      <c r="E95" s="101"/>
      <c r="F95" s="102"/>
      <c r="G95" s="103"/>
      <c r="H95" s="201" t="s">
        <v>208</v>
      </c>
      <c r="I95" s="206" t="s">
        <v>184</v>
      </c>
      <c r="J95" s="146" t="s">
        <v>142</v>
      </c>
      <c r="K95" s="146"/>
      <c r="L95" s="208" t="s">
        <v>184</v>
      </c>
      <c r="M95" s="146" t="s">
        <v>195</v>
      </c>
      <c r="N95" s="187"/>
      <c r="O95" s="208" t="s">
        <v>184</v>
      </c>
      <c r="P95" s="94" t="s">
        <v>196</v>
      </c>
      <c r="Q95" s="188"/>
      <c r="R95" s="208" t="s">
        <v>184</v>
      </c>
      <c r="S95" s="146" t="s">
        <v>197</v>
      </c>
      <c r="T95" s="188"/>
      <c r="U95" s="208" t="s">
        <v>184</v>
      </c>
      <c r="V95" s="146" t="s">
        <v>198</v>
      </c>
      <c r="W95" s="185"/>
      <c r="X95" s="186"/>
      <c r="Y95" s="95"/>
      <c r="Z95" s="95"/>
      <c r="AA95" s="95"/>
      <c r="AB95" s="96"/>
      <c r="AC95" s="409"/>
      <c r="AD95" s="409"/>
      <c r="AE95" s="409"/>
      <c r="AF95" s="409"/>
      <c r="AI95" s="109" t="str">
        <f>"2A:shoguukaizen_code:"&amp;IF(I95="■",1,IF(L95="■",7,IF(O95="■",8,IF(R95="■",9,IF(U95="■","A",0)))))</f>
        <v>2A:shoguukaizen_code:0</v>
      </c>
    </row>
    <row r="96" spans="1:36" s="109" customFormat="1" ht="18.75" customHeight="1" x14ac:dyDescent="0.15">
      <c r="A96" s="191"/>
      <c r="B96" s="192"/>
      <c r="C96" s="121"/>
      <c r="D96" s="122"/>
      <c r="E96" s="124"/>
      <c r="F96" s="122"/>
      <c r="G96" s="116"/>
      <c r="H96" s="352" t="s">
        <v>89</v>
      </c>
      <c r="I96" s="195" t="s">
        <v>184</v>
      </c>
      <c r="J96" s="114" t="s">
        <v>153</v>
      </c>
      <c r="K96" s="199"/>
      <c r="L96" s="178"/>
      <c r="M96" s="197" t="s">
        <v>184</v>
      </c>
      <c r="N96" s="114" t="s">
        <v>157</v>
      </c>
      <c r="O96" s="196"/>
      <c r="P96" s="196"/>
      <c r="Q96" s="197" t="s">
        <v>184</v>
      </c>
      <c r="R96" s="114" t="s">
        <v>158</v>
      </c>
      <c r="S96" s="196"/>
      <c r="T96" s="196"/>
      <c r="U96" s="197" t="s">
        <v>184</v>
      </c>
      <c r="V96" s="114" t="s">
        <v>159</v>
      </c>
      <c r="W96" s="196"/>
      <c r="X96" s="172"/>
      <c r="Y96" s="195" t="s">
        <v>184</v>
      </c>
      <c r="Z96" s="114" t="s">
        <v>141</v>
      </c>
      <c r="AA96" s="114"/>
      <c r="AB96" s="127"/>
      <c r="AC96" s="407"/>
      <c r="AD96" s="407"/>
      <c r="AE96" s="407"/>
      <c r="AF96" s="407"/>
      <c r="AG96" s="109" t="str">
        <f>"ser_code = '" &amp; IF(A105="■","2A","") &amp; "'"</f>
        <v>ser_code = ''</v>
      </c>
      <c r="AH96" s="109" t="str">
        <f>"2A:jininkbn_code:"&amp;IF(F105="■",1,0)</f>
        <v>2A:jininkbn_code:0</v>
      </c>
      <c r="AI96" s="109" t="str">
        <f>"2A:yakan_kinmu_code:" &amp; IF(I96="■",1,IF(M96="■",2,IF(Q96="■",3,IF(U96="■",7,IF(I97="■",5,IF(M97="■",6,0))))))</f>
        <v>2A:yakan_kinmu_code:0</v>
      </c>
      <c r="AJ96" s="109" t="str">
        <f>"2A:field203:" &amp; IF(Y96="■",1,IF(Y97="■",2,0))</f>
        <v>2A:field203:0</v>
      </c>
    </row>
    <row r="97" spans="1:35" s="109" customFormat="1" ht="18.75" customHeight="1" x14ac:dyDescent="0.15">
      <c r="A97" s="193"/>
      <c r="B97" s="194"/>
      <c r="C97" s="99"/>
      <c r="D97" s="100"/>
      <c r="E97" s="103"/>
      <c r="F97" s="100"/>
      <c r="G97" s="101"/>
      <c r="H97" s="362"/>
      <c r="I97" s="207" t="s">
        <v>184</v>
      </c>
      <c r="J97" s="105" t="s">
        <v>160</v>
      </c>
      <c r="K97" s="150"/>
      <c r="L97" s="106"/>
      <c r="M97" s="209" t="s">
        <v>184</v>
      </c>
      <c r="N97" s="105" t="s">
        <v>154</v>
      </c>
      <c r="O97" s="202"/>
      <c r="P97" s="202"/>
      <c r="Q97" s="202"/>
      <c r="R97" s="202"/>
      <c r="S97" s="202"/>
      <c r="T97" s="202"/>
      <c r="U97" s="202"/>
      <c r="V97" s="202"/>
      <c r="W97" s="202"/>
      <c r="X97" s="211"/>
      <c r="Y97" s="174" t="s">
        <v>184</v>
      </c>
      <c r="Z97" s="94" t="s">
        <v>145</v>
      </c>
      <c r="AA97" s="95"/>
      <c r="AB97" s="96"/>
      <c r="AC97" s="408"/>
      <c r="AD97" s="408"/>
      <c r="AE97" s="408"/>
      <c r="AF97" s="408"/>
      <c r="AG97" s="109" t="str">
        <f>"2A:sisetukbn_code:"&amp;IF(D105="■","3",0)</f>
        <v>2A:sisetukbn_code:0</v>
      </c>
    </row>
    <row r="98" spans="1:35" s="109" customFormat="1" ht="18.75" customHeight="1" x14ac:dyDescent="0.15">
      <c r="A98" s="193"/>
      <c r="B98" s="194"/>
      <c r="C98" s="99"/>
      <c r="D98" s="100"/>
      <c r="E98" s="103"/>
      <c r="F98" s="100"/>
      <c r="G98" s="101"/>
      <c r="H98" s="366" t="s">
        <v>87</v>
      </c>
      <c r="I98" s="206" t="s">
        <v>184</v>
      </c>
      <c r="J98" s="146" t="s">
        <v>142</v>
      </c>
      <c r="K98" s="146"/>
      <c r="L98" s="171"/>
      <c r="M98" s="208" t="s">
        <v>184</v>
      </c>
      <c r="N98" s="146" t="s">
        <v>152</v>
      </c>
      <c r="O98" s="146"/>
      <c r="P98" s="171"/>
      <c r="Q98" s="208" t="s">
        <v>184</v>
      </c>
      <c r="R98" s="205" t="s">
        <v>173</v>
      </c>
      <c r="S98" s="205"/>
      <c r="T98" s="205"/>
      <c r="U98" s="185"/>
      <c r="V98" s="171"/>
      <c r="W98" s="205"/>
      <c r="X98" s="186"/>
      <c r="Y98" s="133"/>
      <c r="Z98" s="95"/>
      <c r="AA98" s="95"/>
      <c r="AB98" s="96"/>
      <c r="AC98" s="409"/>
      <c r="AD98" s="409"/>
      <c r="AE98" s="409"/>
      <c r="AF98" s="409"/>
      <c r="AI98" s="109" t="str">
        <f>"2A:"&amp;IF(AND(I98="□",M98="□",Q98="□",I99="□",M99="□"),"ketu_doctor_code:0",IF(I98="■","ketu_doctor_code:1:field197:1:ketu_kangos_code:1:ketu_kshoku_code:1",IF(M98="■","ketu_doctor_code:2","ketu_doctor_code:1")
&amp;IF(Q98="■",":field197:2",":field197:1")
&amp;IF(I99="■",":ketu_kangos_code:2",":ketu_kangos_code:1")
&amp;IF(M99="■",":ketu_kshoku_code:2",":ketu_kshoku_code:1")))</f>
        <v>2A:ketu_doctor_code:0</v>
      </c>
    </row>
    <row r="99" spans="1:35" s="109" customFormat="1" ht="18.75" customHeight="1" x14ac:dyDescent="0.15">
      <c r="A99" s="193"/>
      <c r="B99" s="194"/>
      <c r="C99" s="99"/>
      <c r="D99" s="100"/>
      <c r="E99" s="103"/>
      <c r="F99" s="100"/>
      <c r="G99" s="101"/>
      <c r="H99" s="362"/>
      <c r="I99" s="207" t="s">
        <v>184</v>
      </c>
      <c r="J99" s="202" t="s">
        <v>174</v>
      </c>
      <c r="K99" s="202"/>
      <c r="L99" s="202"/>
      <c r="M99" s="209" t="s">
        <v>184</v>
      </c>
      <c r="N99" s="202" t="s">
        <v>175</v>
      </c>
      <c r="O99" s="106"/>
      <c r="P99" s="202"/>
      <c r="Q99" s="202"/>
      <c r="R99" s="106"/>
      <c r="S99" s="202"/>
      <c r="T99" s="202"/>
      <c r="U99" s="131"/>
      <c r="V99" s="106"/>
      <c r="W99" s="202"/>
      <c r="X99" s="132"/>
      <c r="Y99" s="133"/>
      <c r="Z99" s="95"/>
      <c r="AA99" s="95"/>
      <c r="AB99" s="96"/>
      <c r="AC99" s="409"/>
      <c r="AD99" s="409"/>
      <c r="AE99" s="409"/>
      <c r="AF99" s="409"/>
    </row>
    <row r="100" spans="1:35" s="109" customFormat="1" ht="18.75" customHeight="1" x14ac:dyDescent="0.15">
      <c r="A100" s="97"/>
      <c r="B100" s="204"/>
      <c r="C100" s="182"/>
      <c r="D100" s="183"/>
      <c r="E100" s="101"/>
      <c r="F100" s="102"/>
      <c r="G100" s="103"/>
      <c r="H100" s="180" t="s">
        <v>92</v>
      </c>
      <c r="I100" s="134" t="s">
        <v>184</v>
      </c>
      <c r="J100" s="135" t="s">
        <v>185</v>
      </c>
      <c r="K100" s="136"/>
      <c r="L100" s="137"/>
      <c r="M100" s="138" t="s">
        <v>184</v>
      </c>
      <c r="N100" s="135" t="s">
        <v>186</v>
      </c>
      <c r="O100" s="136"/>
      <c r="P100" s="136"/>
      <c r="Q100" s="136"/>
      <c r="R100" s="136"/>
      <c r="S100" s="136"/>
      <c r="T100" s="136"/>
      <c r="U100" s="136"/>
      <c r="V100" s="136"/>
      <c r="W100" s="136"/>
      <c r="X100" s="144"/>
      <c r="Y100" s="133"/>
      <c r="Z100" s="95"/>
      <c r="AA100" s="95"/>
      <c r="AB100" s="96"/>
      <c r="AC100" s="409"/>
      <c r="AD100" s="409"/>
      <c r="AE100" s="409"/>
      <c r="AF100" s="409"/>
      <c r="AI100" s="109" t="str">
        <f>"2A:sintaikousoku_code:" &amp; IF(I100="■",1,IF(M100="■",2,0))</f>
        <v>2A:sintaikousoku_code:0</v>
      </c>
    </row>
    <row r="101" spans="1:35" s="109" customFormat="1" ht="19.5" customHeight="1" x14ac:dyDescent="0.15">
      <c r="A101" s="97"/>
      <c r="B101" s="204"/>
      <c r="C101" s="99"/>
      <c r="D101" s="100"/>
      <c r="E101" s="101"/>
      <c r="F101" s="102"/>
      <c r="G101" s="103"/>
      <c r="H101" s="104" t="s">
        <v>192</v>
      </c>
      <c r="I101" s="134" t="s">
        <v>184</v>
      </c>
      <c r="J101" s="135" t="s">
        <v>185</v>
      </c>
      <c r="K101" s="136"/>
      <c r="L101" s="137"/>
      <c r="M101" s="138" t="s">
        <v>184</v>
      </c>
      <c r="N101" s="135" t="s">
        <v>193</v>
      </c>
      <c r="O101" s="139"/>
      <c r="P101" s="135"/>
      <c r="Q101" s="140"/>
      <c r="R101" s="140"/>
      <c r="S101" s="140"/>
      <c r="T101" s="140"/>
      <c r="U101" s="140"/>
      <c r="V101" s="140"/>
      <c r="W101" s="140"/>
      <c r="X101" s="141"/>
      <c r="Y101" s="95"/>
      <c r="Z101" s="95"/>
      <c r="AA101" s="95"/>
      <c r="AB101" s="96"/>
      <c r="AC101" s="409"/>
      <c r="AD101" s="409"/>
      <c r="AE101" s="409"/>
      <c r="AF101" s="409"/>
      <c r="AI101" s="109" t="str">
        <f>"2A:field223:" &amp; IF(I101="■",1,IF(M101="■",2,0))</f>
        <v>2A:field223:0</v>
      </c>
    </row>
    <row r="102" spans="1:35" s="109" customFormat="1" ht="18.75" customHeight="1" x14ac:dyDescent="0.15">
      <c r="A102" s="193"/>
      <c r="B102" s="194"/>
      <c r="C102" s="99"/>
      <c r="D102" s="100"/>
      <c r="E102" s="103"/>
      <c r="F102" s="100"/>
      <c r="G102" s="101"/>
      <c r="H102" s="104" t="s">
        <v>201</v>
      </c>
      <c r="I102" s="134" t="s">
        <v>184</v>
      </c>
      <c r="J102" s="135" t="s">
        <v>185</v>
      </c>
      <c r="K102" s="136"/>
      <c r="L102" s="137"/>
      <c r="M102" s="138" t="s">
        <v>184</v>
      </c>
      <c r="N102" s="135" t="s">
        <v>193</v>
      </c>
      <c r="O102" s="139"/>
      <c r="P102" s="135"/>
      <c r="Q102" s="140"/>
      <c r="R102" s="140"/>
      <c r="S102" s="140"/>
      <c r="T102" s="140"/>
      <c r="U102" s="140"/>
      <c r="V102" s="140"/>
      <c r="W102" s="140"/>
      <c r="X102" s="141"/>
      <c r="Y102" s="95"/>
      <c r="Z102" s="95"/>
      <c r="AA102" s="95"/>
      <c r="AB102" s="96"/>
      <c r="AC102" s="409"/>
      <c r="AD102" s="409"/>
      <c r="AE102" s="409"/>
      <c r="AF102" s="409"/>
      <c r="AI102" s="109" t="str">
        <f>"2A:field232:" &amp; IF(I102="■",1,IF(M102="■",2,0))</f>
        <v>2A:field232:0</v>
      </c>
    </row>
    <row r="103" spans="1:35" s="109" customFormat="1" ht="18.75" customHeight="1" x14ac:dyDescent="0.15">
      <c r="A103" s="193"/>
      <c r="B103" s="194"/>
      <c r="C103" s="99"/>
      <c r="D103" s="100"/>
      <c r="E103" s="103"/>
      <c r="F103" s="100"/>
      <c r="G103" s="101"/>
      <c r="H103" s="180" t="s">
        <v>112</v>
      </c>
      <c r="I103" s="134" t="s">
        <v>184</v>
      </c>
      <c r="J103" s="135" t="s">
        <v>153</v>
      </c>
      <c r="K103" s="136"/>
      <c r="L103" s="137"/>
      <c r="M103" s="138" t="s">
        <v>184</v>
      </c>
      <c r="N103" s="135" t="s">
        <v>161</v>
      </c>
      <c r="O103" s="140"/>
      <c r="P103" s="140"/>
      <c r="Q103" s="140"/>
      <c r="R103" s="140"/>
      <c r="S103" s="140"/>
      <c r="T103" s="140"/>
      <c r="U103" s="140"/>
      <c r="V103" s="140"/>
      <c r="W103" s="140"/>
      <c r="X103" s="141"/>
      <c r="Y103" s="133"/>
      <c r="Z103" s="95"/>
      <c r="AA103" s="95"/>
      <c r="AB103" s="96"/>
      <c r="AC103" s="409"/>
      <c r="AD103" s="409"/>
      <c r="AE103" s="409"/>
      <c r="AF103" s="409"/>
      <c r="AI103" s="109" t="str">
        <f>"2A:field190:" &amp; IF(I103="■",1,IF(M103="■",2,0))</f>
        <v>2A:field190:0</v>
      </c>
    </row>
    <row r="104" spans="1:35" s="109" customFormat="1" ht="18.75" customHeight="1" x14ac:dyDescent="0.15">
      <c r="A104" s="193"/>
      <c r="B104" s="194"/>
      <c r="C104" s="99"/>
      <c r="D104" s="100"/>
      <c r="E104" s="103"/>
      <c r="F104" s="100"/>
      <c r="G104" s="101"/>
      <c r="H104" s="180" t="s">
        <v>113</v>
      </c>
      <c r="I104" s="134" t="s">
        <v>184</v>
      </c>
      <c r="J104" s="135" t="s">
        <v>153</v>
      </c>
      <c r="K104" s="136"/>
      <c r="L104" s="137"/>
      <c r="M104" s="138" t="s">
        <v>184</v>
      </c>
      <c r="N104" s="135" t="s">
        <v>161</v>
      </c>
      <c r="O104" s="140"/>
      <c r="P104" s="140"/>
      <c r="Q104" s="140"/>
      <c r="R104" s="140"/>
      <c r="S104" s="140"/>
      <c r="T104" s="140"/>
      <c r="U104" s="140"/>
      <c r="V104" s="140"/>
      <c r="W104" s="140"/>
      <c r="X104" s="141"/>
      <c r="Y104" s="133"/>
      <c r="Z104" s="95"/>
      <c r="AA104" s="95"/>
      <c r="AB104" s="96"/>
      <c r="AC104" s="409"/>
      <c r="AD104" s="409"/>
      <c r="AE104" s="409"/>
      <c r="AF104" s="409"/>
      <c r="AI104" s="109" t="str">
        <f>"2A:field191:" &amp; IF(I104="■",1,IF(M104="■",2,0))</f>
        <v>2A:field191:0</v>
      </c>
    </row>
    <row r="105" spans="1:35" s="109" customFormat="1" ht="18.75" customHeight="1" x14ac:dyDescent="0.15">
      <c r="A105" s="173" t="s">
        <v>184</v>
      </c>
      <c r="B105" s="194" t="s">
        <v>129</v>
      </c>
      <c r="C105" s="99" t="s">
        <v>119</v>
      </c>
      <c r="D105" s="174" t="s">
        <v>184</v>
      </c>
      <c r="E105" s="103" t="s">
        <v>181</v>
      </c>
      <c r="F105" s="174" t="s">
        <v>184</v>
      </c>
      <c r="G105" s="101" t="s">
        <v>180</v>
      </c>
      <c r="H105" s="180" t="s">
        <v>93</v>
      </c>
      <c r="I105" s="134" t="s">
        <v>184</v>
      </c>
      <c r="J105" s="135" t="s">
        <v>142</v>
      </c>
      <c r="K105" s="136"/>
      <c r="L105" s="138" t="s">
        <v>184</v>
      </c>
      <c r="M105" s="135" t="s">
        <v>150</v>
      </c>
      <c r="N105" s="140"/>
      <c r="O105" s="140"/>
      <c r="P105" s="140"/>
      <c r="Q105" s="140"/>
      <c r="R105" s="140"/>
      <c r="S105" s="140"/>
      <c r="T105" s="140"/>
      <c r="U105" s="140"/>
      <c r="V105" s="140"/>
      <c r="W105" s="140"/>
      <c r="X105" s="141"/>
      <c r="Y105" s="133"/>
      <c r="Z105" s="95"/>
      <c r="AA105" s="95"/>
      <c r="AB105" s="96"/>
      <c r="AC105" s="409"/>
      <c r="AD105" s="409"/>
      <c r="AE105" s="409"/>
      <c r="AF105" s="409"/>
      <c r="AI105" s="109" t="str">
        <f>"2A:jyakuninti_uke_code:" &amp; IF(I105="■",1,IF(L105="■",2,0))</f>
        <v>2A:jyakuninti_uke_code:0</v>
      </c>
    </row>
    <row r="106" spans="1:35" s="109" customFormat="1" ht="18.75" customHeight="1" x14ac:dyDescent="0.15">
      <c r="A106" s="193"/>
      <c r="B106" s="194"/>
      <c r="C106" s="99"/>
      <c r="D106" s="100"/>
      <c r="E106" s="103"/>
      <c r="F106" s="100"/>
      <c r="G106" s="101"/>
      <c r="H106" s="180" t="s">
        <v>88</v>
      </c>
      <c r="I106" s="134" t="s">
        <v>184</v>
      </c>
      <c r="J106" s="135" t="s">
        <v>148</v>
      </c>
      <c r="K106" s="136"/>
      <c r="L106" s="137"/>
      <c r="M106" s="138" t="s">
        <v>184</v>
      </c>
      <c r="N106" s="135" t="s">
        <v>149</v>
      </c>
      <c r="O106" s="140"/>
      <c r="P106" s="140"/>
      <c r="Q106" s="140"/>
      <c r="R106" s="140"/>
      <c r="S106" s="140"/>
      <c r="T106" s="140"/>
      <c r="U106" s="140"/>
      <c r="V106" s="140"/>
      <c r="W106" s="140"/>
      <c r="X106" s="141"/>
      <c r="Y106" s="133"/>
      <c r="Z106" s="95"/>
      <c r="AA106" s="95"/>
      <c r="AB106" s="96"/>
      <c r="AC106" s="409"/>
      <c r="AD106" s="409"/>
      <c r="AE106" s="409"/>
      <c r="AF106" s="409"/>
      <c r="AI106" s="109" t="str">
        <f>"2A:sougei_code:" &amp; IF(I106="■",1,IF(M106="■",2,0))</f>
        <v>2A:sougei_code:0</v>
      </c>
    </row>
    <row r="107" spans="1:35" s="109" customFormat="1" ht="19.5" customHeight="1" x14ac:dyDescent="0.15">
      <c r="A107" s="193"/>
      <c r="B107" s="194"/>
      <c r="C107" s="99"/>
      <c r="D107" s="100"/>
      <c r="E107" s="103"/>
      <c r="F107" s="100"/>
      <c r="G107" s="101"/>
      <c r="H107" s="104" t="s">
        <v>194</v>
      </c>
      <c r="I107" s="134" t="s">
        <v>184</v>
      </c>
      <c r="J107" s="135" t="s">
        <v>142</v>
      </c>
      <c r="K107" s="135"/>
      <c r="L107" s="138" t="s">
        <v>184</v>
      </c>
      <c r="M107" s="135" t="s">
        <v>150</v>
      </c>
      <c r="N107" s="135"/>
      <c r="O107" s="140"/>
      <c r="P107" s="135"/>
      <c r="Q107" s="140"/>
      <c r="R107" s="140"/>
      <c r="S107" s="140"/>
      <c r="T107" s="140"/>
      <c r="U107" s="140"/>
      <c r="V107" s="140"/>
      <c r="W107" s="140"/>
      <c r="X107" s="141"/>
      <c r="Y107" s="95"/>
      <c r="Z107" s="95"/>
      <c r="AA107" s="95"/>
      <c r="AB107" s="96"/>
      <c r="AC107" s="409"/>
      <c r="AD107" s="409"/>
      <c r="AE107" s="409"/>
      <c r="AF107" s="409"/>
      <c r="AI107" s="109" t="str">
        <f>"2A:field224:" &amp; IF(I107="■",1,IF(L107="■",2,0))</f>
        <v>2A:field224:0</v>
      </c>
    </row>
    <row r="108" spans="1:35" s="109" customFormat="1" ht="18.75" customHeight="1" x14ac:dyDescent="0.15">
      <c r="A108" s="193"/>
      <c r="B108" s="194"/>
      <c r="C108" s="99"/>
      <c r="D108" s="100"/>
      <c r="E108" s="103"/>
      <c r="F108" s="100"/>
      <c r="G108" s="101"/>
      <c r="H108" s="180" t="s">
        <v>94</v>
      </c>
      <c r="I108" s="134" t="s">
        <v>184</v>
      </c>
      <c r="J108" s="135" t="s">
        <v>142</v>
      </c>
      <c r="K108" s="136"/>
      <c r="L108" s="138" t="s">
        <v>184</v>
      </c>
      <c r="M108" s="135" t="s">
        <v>150</v>
      </c>
      <c r="N108" s="140"/>
      <c r="O108" s="140"/>
      <c r="P108" s="140"/>
      <c r="Q108" s="140"/>
      <c r="R108" s="140"/>
      <c r="S108" s="140"/>
      <c r="T108" s="140"/>
      <c r="U108" s="140"/>
      <c r="V108" s="140"/>
      <c r="W108" s="140"/>
      <c r="X108" s="141"/>
      <c r="Y108" s="133"/>
      <c r="Z108" s="95"/>
      <c r="AA108" s="95"/>
      <c r="AB108" s="96"/>
      <c r="AC108" s="409"/>
      <c r="AD108" s="409"/>
      <c r="AE108" s="409"/>
      <c r="AF108" s="409"/>
      <c r="AI108" s="109" t="str">
        <f>"2A:ryouyoushoku_code:" &amp; IF(I108="■",1,IF(L108="■",2,0))</f>
        <v>2A:ryouyoushoku_code:0</v>
      </c>
    </row>
    <row r="109" spans="1:35" s="109" customFormat="1" ht="18.75" customHeight="1" x14ac:dyDescent="0.15">
      <c r="A109" s="193"/>
      <c r="B109" s="194"/>
      <c r="C109" s="99"/>
      <c r="D109" s="100"/>
      <c r="E109" s="103"/>
      <c r="F109" s="100"/>
      <c r="G109" s="101"/>
      <c r="H109" s="180" t="s">
        <v>95</v>
      </c>
      <c r="I109" s="134" t="s">
        <v>184</v>
      </c>
      <c r="J109" s="135" t="s">
        <v>142</v>
      </c>
      <c r="K109" s="135"/>
      <c r="L109" s="138" t="s">
        <v>184</v>
      </c>
      <c r="M109" s="135" t="s">
        <v>143</v>
      </c>
      <c r="N109" s="135"/>
      <c r="O109" s="138" t="s">
        <v>184</v>
      </c>
      <c r="P109" s="135" t="s">
        <v>144</v>
      </c>
      <c r="Q109" s="140"/>
      <c r="R109" s="140"/>
      <c r="S109" s="140"/>
      <c r="T109" s="140"/>
      <c r="U109" s="140"/>
      <c r="V109" s="140"/>
      <c r="W109" s="140"/>
      <c r="X109" s="141"/>
      <c r="Y109" s="133"/>
      <c r="Z109" s="95"/>
      <c r="AA109" s="95"/>
      <c r="AB109" s="96"/>
      <c r="AC109" s="409"/>
      <c r="AD109" s="409"/>
      <c r="AE109" s="409"/>
      <c r="AF109" s="409"/>
      <c r="AI109" s="109" t="str">
        <f>"2A:ninti_senmoncare_code:" &amp; IF(I109="■",1,IF(O109="■",3,IF(L109="■",2,0)))</f>
        <v>2A:ninti_senmoncare_code:0</v>
      </c>
    </row>
    <row r="110" spans="1:35" s="109" customFormat="1" ht="18.75" customHeight="1" x14ac:dyDescent="0.15">
      <c r="A110" s="193"/>
      <c r="B110" s="194"/>
      <c r="C110" s="99"/>
      <c r="D110" s="100"/>
      <c r="E110" s="103"/>
      <c r="F110" s="100"/>
      <c r="G110" s="101"/>
      <c r="H110" s="180" t="s">
        <v>130</v>
      </c>
      <c r="I110" s="134" t="s">
        <v>184</v>
      </c>
      <c r="J110" s="135" t="s">
        <v>142</v>
      </c>
      <c r="K110" s="135"/>
      <c r="L110" s="138" t="s">
        <v>184</v>
      </c>
      <c r="M110" s="135" t="s">
        <v>143</v>
      </c>
      <c r="N110" s="135"/>
      <c r="O110" s="138" t="s">
        <v>184</v>
      </c>
      <c r="P110" s="135" t="s">
        <v>144</v>
      </c>
      <c r="Q110" s="140"/>
      <c r="R110" s="140"/>
      <c r="S110" s="140"/>
      <c r="T110" s="140"/>
      <c r="U110" s="140"/>
      <c r="V110" s="140"/>
      <c r="W110" s="140"/>
      <c r="X110" s="141"/>
      <c r="Y110" s="133"/>
      <c r="Z110" s="95"/>
      <c r="AA110" s="95"/>
      <c r="AB110" s="96"/>
      <c r="AC110" s="409"/>
      <c r="AD110" s="409"/>
      <c r="AE110" s="409"/>
      <c r="AF110" s="409"/>
      <c r="AI110" s="109" t="str">
        <f>"2A:field164:" &amp; IF(I110="■",1,IF(L110="■",2,IF(O110="■",3,0)))</f>
        <v>2A:field164:0</v>
      </c>
    </row>
    <row r="111" spans="1:35" s="109" customFormat="1" ht="18.75" customHeight="1" x14ac:dyDescent="0.15">
      <c r="A111" s="193"/>
      <c r="B111" s="194"/>
      <c r="C111" s="99"/>
      <c r="D111" s="100"/>
      <c r="E111" s="103"/>
      <c r="F111" s="100"/>
      <c r="G111" s="101"/>
      <c r="H111" s="184" t="s">
        <v>199</v>
      </c>
      <c r="I111" s="134" t="s">
        <v>184</v>
      </c>
      <c r="J111" s="135" t="s">
        <v>142</v>
      </c>
      <c r="K111" s="135"/>
      <c r="L111" s="138" t="s">
        <v>184</v>
      </c>
      <c r="M111" s="135" t="s">
        <v>143</v>
      </c>
      <c r="N111" s="135"/>
      <c r="O111" s="138" t="s">
        <v>184</v>
      </c>
      <c r="P111" s="135" t="s">
        <v>144</v>
      </c>
      <c r="Q111" s="140"/>
      <c r="R111" s="140"/>
      <c r="S111" s="140"/>
      <c r="T111" s="140"/>
      <c r="U111" s="185"/>
      <c r="V111" s="185"/>
      <c r="W111" s="185"/>
      <c r="X111" s="186"/>
      <c r="Y111" s="133"/>
      <c r="Z111" s="95"/>
      <c r="AA111" s="95"/>
      <c r="AB111" s="96"/>
      <c r="AC111" s="409"/>
      <c r="AD111" s="409"/>
      <c r="AE111" s="409"/>
      <c r="AF111" s="409"/>
      <c r="AI111" s="109" t="str">
        <f>"2A:field225:" &amp; IF(I111="■",1,IF(L111="■",2,IF(O111="■",3,0)))</f>
        <v>2A:field225:0</v>
      </c>
    </row>
    <row r="112" spans="1:35" s="109" customFormat="1" ht="18.75" customHeight="1" x14ac:dyDescent="0.15">
      <c r="A112" s="193"/>
      <c r="B112" s="194"/>
      <c r="C112" s="99"/>
      <c r="D112" s="100"/>
      <c r="E112" s="103"/>
      <c r="F112" s="100"/>
      <c r="G112" s="101"/>
      <c r="H112" s="142" t="s">
        <v>96</v>
      </c>
      <c r="I112" s="134" t="s">
        <v>184</v>
      </c>
      <c r="J112" s="135" t="s">
        <v>142</v>
      </c>
      <c r="K112" s="135"/>
      <c r="L112" s="138" t="s">
        <v>184</v>
      </c>
      <c r="M112" s="135" t="s">
        <v>146</v>
      </c>
      <c r="N112" s="135"/>
      <c r="O112" s="138" t="s">
        <v>184</v>
      </c>
      <c r="P112" s="135" t="s">
        <v>147</v>
      </c>
      <c r="Q112" s="210"/>
      <c r="R112" s="138" t="s">
        <v>184</v>
      </c>
      <c r="S112" s="135" t="s">
        <v>151</v>
      </c>
      <c r="T112" s="210"/>
      <c r="U112" s="210"/>
      <c r="V112" s="210"/>
      <c r="W112" s="210"/>
      <c r="X112" s="167"/>
      <c r="Y112" s="133"/>
      <c r="Z112" s="95"/>
      <c r="AA112" s="95"/>
      <c r="AB112" s="96"/>
      <c r="AC112" s="409"/>
      <c r="AD112" s="409"/>
      <c r="AE112" s="409"/>
      <c r="AF112" s="409"/>
      <c r="AI112" s="109" t="str">
        <f>"2A:serteikyo_kyoka_code:" &amp; IF(I112="■",1,IF(L112="■",6,IF(O112="■",5,IF(R112="■",7,0))))</f>
        <v>2A:serteikyo_kyoka_code:0</v>
      </c>
    </row>
    <row r="113" spans="1:38" s="109" customFormat="1" ht="18.75" customHeight="1" x14ac:dyDescent="0.15">
      <c r="A113" s="193"/>
      <c r="B113" s="194"/>
      <c r="C113" s="99"/>
      <c r="D113" s="100"/>
      <c r="E113" s="103"/>
      <c r="F113" s="100"/>
      <c r="G113" s="101"/>
      <c r="H113" s="367" t="s">
        <v>209</v>
      </c>
      <c r="I113" s="411" t="s">
        <v>184</v>
      </c>
      <c r="J113" s="412" t="s">
        <v>142</v>
      </c>
      <c r="K113" s="412"/>
      <c r="L113" s="413" t="s">
        <v>184</v>
      </c>
      <c r="M113" s="412" t="s">
        <v>150</v>
      </c>
      <c r="N113" s="412"/>
      <c r="O113" s="146"/>
      <c r="P113" s="146"/>
      <c r="Q113" s="146"/>
      <c r="R113" s="146"/>
      <c r="S113" s="146"/>
      <c r="T113" s="146"/>
      <c r="U113" s="146"/>
      <c r="V113" s="146"/>
      <c r="W113" s="146"/>
      <c r="X113" s="149"/>
      <c r="Y113" s="133"/>
      <c r="Z113" s="95"/>
      <c r="AA113" s="95"/>
      <c r="AB113" s="96"/>
      <c r="AC113" s="409"/>
      <c r="AD113" s="409"/>
      <c r="AE113" s="409"/>
      <c r="AF113" s="409"/>
      <c r="AI113" s="109" t="str">
        <f>"2A:field221:" &amp; IF(I113="■",1,IF(L113="■",2,0))</f>
        <v>2A:field221:0</v>
      </c>
    </row>
    <row r="114" spans="1:38" s="109" customFormat="1" ht="18.75" customHeight="1" x14ac:dyDescent="0.15">
      <c r="A114" s="193"/>
      <c r="B114" s="194"/>
      <c r="C114" s="99"/>
      <c r="D114" s="100"/>
      <c r="E114" s="103"/>
      <c r="F114" s="100"/>
      <c r="G114" s="101"/>
      <c r="H114" s="368"/>
      <c r="I114" s="411"/>
      <c r="J114" s="412"/>
      <c r="K114" s="412"/>
      <c r="L114" s="413"/>
      <c r="M114" s="412"/>
      <c r="N114" s="412"/>
      <c r="O114" s="105"/>
      <c r="P114" s="105"/>
      <c r="Q114" s="105"/>
      <c r="R114" s="105"/>
      <c r="S114" s="105"/>
      <c r="T114" s="105"/>
      <c r="U114" s="105"/>
      <c r="V114" s="105"/>
      <c r="W114" s="105"/>
      <c r="X114" s="147"/>
      <c r="Y114" s="133"/>
      <c r="Z114" s="95"/>
      <c r="AA114" s="95"/>
      <c r="AB114" s="96"/>
      <c r="AC114" s="409"/>
      <c r="AD114" s="409"/>
      <c r="AE114" s="409"/>
      <c r="AF114" s="409"/>
    </row>
    <row r="115" spans="1:38" s="109" customFormat="1" ht="18.75" customHeight="1" x14ac:dyDescent="0.15">
      <c r="A115" s="152"/>
      <c r="B115" s="198"/>
      <c r="C115" s="154"/>
      <c r="D115" s="155"/>
      <c r="E115" s="156"/>
      <c r="F115" s="157"/>
      <c r="G115" s="158"/>
      <c r="H115" s="85" t="s">
        <v>208</v>
      </c>
      <c r="I115" s="159" t="s">
        <v>184</v>
      </c>
      <c r="J115" s="86" t="s">
        <v>142</v>
      </c>
      <c r="K115" s="86"/>
      <c r="L115" s="160" t="s">
        <v>184</v>
      </c>
      <c r="M115" s="86" t="s">
        <v>195</v>
      </c>
      <c r="N115" s="87"/>
      <c r="O115" s="160" t="s">
        <v>184</v>
      </c>
      <c r="P115" s="89" t="s">
        <v>196</v>
      </c>
      <c r="Q115" s="88"/>
      <c r="R115" s="160" t="s">
        <v>184</v>
      </c>
      <c r="S115" s="86" t="s">
        <v>197</v>
      </c>
      <c r="T115" s="88"/>
      <c r="U115" s="160" t="s">
        <v>184</v>
      </c>
      <c r="V115" s="86" t="s">
        <v>198</v>
      </c>
      <c r="W115" s="90"/>
      <c r="X115" s="91"/>
      <c r="Y115" s="161"/>
      <c r="Z115" s="161"/>
      <c r="AA115" s="161"/>
      <c r="AB115" s="162"/>
      <c r="AC115" s="410"/>
      <c r="AD115" s="410"/>
      <c r="AE115" s="410"/>
      <c r="AF115" s="410"/>
      <c r="AI115" s="109" t="str">
        <f>"2A:shoguukaizen_code:"&amp;IF(I115="■",1,IF(L115="■",7,IF(O115="■",8,IF(R115="■",9,IF(U115="■","A",0)))))</f>
        <v>2A:shoguukaizen_code:0</v>
      </c>
    </row>
    <row r="116" spans="1:38" s="109" customFormat="1" ht="18.75" customHeight="1" x14ac:dyDescent="0.15">
      <c r="A116" s="191"/>
      <c r="B116" s="192"/>
      <c r="C116" s="121"/>
      <c r="D116" s="122"/>
      <c r="E116" s="124"/>
      <c r="F116" s="122"/>
      <c r="G116" s="116"/>
      <c r="H116" s="352" t="s">
        <v>89</v>
      </c>
      <c r="I116" s="195" t="s">
        <v>184</v>
      </c>
      <c r="J116" s="114" t="s">
        <v>153</v>
      </c>
      <c r="K116" s="199"/>
      <c r="L116" s="178"/>
      <c r="M116" s="197" t="s">
        <v>184</v>
      </c>
      <c r="N116" s="114" t="s">
        <v>157</v>
      </c>
      <c r="O116" s="196"/>
      <c r="P116" s="196"/>
      <c r="Q116" s="197" t="s">
        <v>184</v>
      </c>
      <c r="R116" s="114" t="s">
        <v>158</v>
      </c>
      <c r="S116" s="196"/>
      <c r="T116" s="196"/>
      <c r="U116" s="197" t="s">
        <v>184</v>
      </c>
      <c r="V116" s="114" t="s">
        <v>159</v>
      </c>
      <c r="W116" s="196"/>
      <c r="X116" s="172"/>
      <c r="Y116" s="195" t="s">
        <v>184</v>
      </c>
      <c r="Z116" s="114" t="s">
        <v>141</v>
      </c>
      <c r="AA116" s="114"/>
      <c r="AB116" s="127"/>
      <c r="AC116" s="407"/>
      <c r="AD116" s="407"/>
      <c r="AE116" s="407"/>
      <c r="AF116" s="407"/>
      <c r="AG116" s="109" t="str">
        <f>"ser_code = '" &amp; IF(A126="■","2A","") &amp; "'"</f>
        <v>ser_code = ''</v>
      </c>
      <c r="AH116" s="109" t="str">
        <f>"2A:jininkbn_code:"&amp;IF(F126="■",2,0)</f>
        <v>2A:jininkbn_code:0</v>
      </c>
      <c r="AI116" s="109" t="str">
        <f>"2A:yakan_kinmu_code:" &amp; IF(I116="■",1,IF(M116="■",2,IF(Q116="■",3,IF(U116="■",7,IF(I117="■",5,IF(M117="■",6,0))))))</f>
        <v>2A:yakan_kinmu_code:0</v>
      </c>
      <c r="AJ116" s="109" t="str">
        <f>"2A:field203:" &amp; IF(Y116="■",1,IF(Y117="■",2,0))</f>
        <v>2A:field203:0</v>
      </c>
    </row>
    <row r="117" spans="1:38" s="109" customFormat="1" ht="18.75" customHeight="1" x14ac:dyDescent="0.15">
      <c r="A117" s="193"/>
      <c r="B117" s="194"/>
      <c r="C117" s="99"/>
      <c r="D117" s="100"/>
      <c r="E117" s="103"/>
      <c r="F117" s="100"/>
      <c r="G117" s="101"/>
      <c r="H117" s="362"/>
      <c r="I117" s="207" t="s">
        <v>184</v>
      </c>
      <c r="J117" s="105" t="s">
        <v>160</v>
      </c>
      <c r="K117" s="150"/>
      <c r="L117" s="106"/>
      <c r="M117" s="209" t="s">
        <v>184</v>
      </c>
      <c r="N117" s="105" t="s">
        <v>154</v>
      </c>
      <c r="O117" s="202"/>
      <c r="P117" s="202"/>
      <c r="Q117" s="202"/>
      <c r="R117" s="202"/>
      <c r="S117" s="202"/>
      <c r="T117" s="202"/>
      <c r="U117" s="202"/>
      <c r="V117" s="202"/>
      <c r="W117" s="202"/>
      <c r="X117" s="211"/>
      <c r="Y117" s="174" t="s">
        <v>184</v>
      </c>
      <c r="Z117" s="94" t="s">
        <v>145</v>
      </c>
      <c r="AA117" s="95"/>
      <c r="AB117" s="96"/>
      <c r="AC117" s="408"/>
      <c r="AD117" s="408"/>
      <c r="AE117" s="408"/>
      <c r="AF117" s="408"/>
      <c r="AG117" s="109" t="str">
        <f>"2A:sisetukbn_code:"&amp;IF(D126="■","3",0)</f>
        <v>2A:sisetukbn_code:0</v>
      </c>
    </row>
    <row r="118" spans="1:38" s="109" customFormat="1" ht="18.75" customHeight="1" x14ac:dyDescent="0.15">
      <c r="A118" s="193"/>
      <c r="B118" s="194"/>
      <c r="C118" s="99"/>
      <c r="D118" s="100"/>
      <c r="E118" s="103"/>
      <c r="F118" s="100"/>
      <c r="G118" s="101"/>
      <c r="H118" s="366" t="s">
        <v>87</v>
      </c>
      <c r="I118" s="206" t="s">
        <v>184</v>
      </c>
      <c r="J118" s="146" t="s">
        <v>142</v>
      </c>
      <c r="K118" s="146"/>
      <c r="L118" s="171"/>
      <c r="M118" s="208" t="s">
        <v>184</v>
      </c>
      <c r="N118" s="146" t="s">
        <v>152</v>
      </c>
      <c r="O118" s="146"/>
      <c r="P118" s="171"/>
      <c r="Q118" s="208" t="s">
        <v>184</v>
      </c>
      <c r="R118" s="205" t="s">
        <v>173</v>
      </c>
      <c r="S118" s="205"/>
      <c r="T118" s="205"/>
      <c r="U118" s="185"/>
      <c r="V118" s="171"/>
      <c r="W118" s="205"/>
      <c r="X118" s="186"/>
      <c r="Y118" s="133"/>
      <c r="Z118" s="95"/>
      <c r="AA118" s="95"/>
      <c r="AB118" s="96"/>
      <c r="AC118" s="409"/>
      <c r="AD118" s="409"/>
      <c r="AE118" s="409"/>
      <c r="AF118" s="409"/>
      <c r="AI118" s="109" t="str">
        <f>"2A:"&amp;IF(AND(I118="□",M118="□",Q118="□",I119="□",M119="□"),"ketu_doctor_code:0",IF(I118="■","ketu_doctor_code:1:field197:1:ketu_kangos_code:1:ketu_kshoku_code:1",IF(M118="■","ketu_doctor_code:2","ketu_doctor_code:1")
&amp;IF(Q118="■",":field197:2",":field197:1")
&amp;IF(I119="■",":ketu_kangos_code:2",":ketu_kangos_code:1")
&amp;IF(M119="■",":ketu_kshoku_code:2",":ketu_kshoku_code:1")))</f>
        <v>2A:ketu_doctor_code:0</v>
      </c>
    </row>
    <row r="119" spans="1:38" s="109" customFormat="1" ht="18.75" customHeight="1" x14ac:dyDescent="0.15">
      <c r="A119" s="193"/>
      <c r="B119" s="194"/>
      <c r="C119" s="99"/>
      <c r="D119" s="100"/>
      <c r="E119" s="103"/>
      <c r="F119" s="100"/>
      <c r="G119" s="101"/>
      <c r="H119" s="362"/>
      <c r="I119" s="207" t="s">
        <v>184</v>
      </c>
      <c r="J119" s="202" t="s">
        <v>174</v>
      </c>
      <c r="K119" s="202"/>
      <c r="L119" s="202"/>
      <c r="M119" s="209" t="s">
        <v>184</v>
      </c>
      <c r="N119" s="202" t="s">
        <v>175</v>
      </c>
      <c r="O119" s="106"/>
      <c r="P119" s="202"/>
      <c r="Q119" s="202"/>
      <c r="R119" s="106"/>
      <c r="S119" s="202"/>
      <c r="T119" s="202"/>
      <c r="U119" s="131"/>
      <c r="V119" s="106"/>
      <c r="W119" s="202"/>
      <c r="X119" s="132"/>
      <c r="Y119" s="133"/>
      <c r="Z119" s="95"/>
      <c r="AA119" s="95"/>
      <c r="AB119" s="96"/>
      <c r="AC119" s="409"/>
      <c r="AD119" s="409"/>
      <c r="AE119" s="409"/>
      <c r="AF119" s="409"/>
    </row>
    <row r="120" spans="1:38" s="109" customFormat="1" ht="18.75" customHeight="1" x14ac:dyDescent="0.15">
      <c r="A120" s="97"/>
      <c r="B120" s="204"/>
      <c r="C120" s="182"/>
      <c r="D120" s="183"/>
      <c r="E120" s="101"/>
      <c r="F120" s="102"/>
      <c r="G120" s="103"/>
      <c r="H120" s="180" t="s">
        <v>92</v>
      </c>
      <c r="I120" s="134" t="s">
        <v>184</v>
      </c>
      <c r="J120" s="135" t="s">
        <v>185</v>
      </c>
      <c r="K120" s="136"/>
      <c r="L120" s="137"/>
      <c r="M120" s="138" t="s">
        <v>184</v>
      </c>
      <c r="N120" s="135" t="s">
        <v>186</v>
      </c>
      <c r="O120" s="136"/>
      <c r="P120" s="136"/>
      <c r="Q120" s="136"/>
      <c r="R120" s="136"/>
      <c r="S120" s="136"/>
      <c r="T120" s="136"/>
      <c r="U120" s="136"/>
      <c r="V120" s="136"/>
      <c r="W120" s="136"/>
      <c r="X120" s="144"/>
      <c r="Y120" s="133"/>
      <c r="Z120" s="95"/>
      <c r="AA120" s="95"/>
      <c r="AB120" s="96"/>
      <c r="AC120" s="409"/>
      <c r="AD120" s="409"/>
      <c r="AE120" s="409"/>
      <c r="AF120" s="409"/>
      <c r="AI120" s="109" t="str">
        <f>"2A:sintaikousoku_code:" &amp; IF(I120="■",1,IF(M120="■",2,0))</f>
        <v>2A:sintaikousoku_code:0</v>
      </c>
    </row>
    <row r="121" spans="1:38" s="109" customFormat="1" ht="19.5" customHeight="1" x14ac:dyDescent="0.15">
      <c r="A121" s="97"/>
      <c r="B121" s="204"/>
      <c r="C121" s="99"/>
      <c r="D121" s="100"/>
      <c r="E121" s="101"/>
      <c r="F121" s="102"/>
      <c r="G121" s="103"/>
      <c r="H121" s="104" t="s">
        <v>192</v>
      </c>
      <c r="I121" s="134" t="s">
        <v>184</v>
      </c>
      <c r="J121" s="135" t="s">
        <v>185</v>
      </c>
      <c r="K121" s="136"/>
      <c r="L121" s="137"/>
      <c r="M121" s="138" t="s">
        <v>184</v>
      </c>
      <c r="N121" s="135" t="s">
        <v>193</v>
      </c>
      <c r="O121" s="139"/>
      <c r="P121" s="135"/>
      <c r="Q121" s="140"/>
      <c r="R121" s="140"/>
      <c r="S121" s="140"/>
      <c r="T121" s="140"/>
      <c r="U121" s="140"/>
      <c r="V121" s="140"/>
      <c r="W121" s="140"/>
      <c r="X121" s="141"/>
      <c r="Y121" s="95"/>
      <c r="Z121" s="95"/>
      <c r="AA121" s="95"/>
      <c r="AB121" s="96"/>
      <c r="AC121" s="409"/>
      <c r="AD121" s="409"/>
      <c r="AE121" s="409"/>
      <c r="AF121" s="409"/>
      <c r="AI121" s="109" t="str">
        <f>"2A:field223:" &amp; IF(I121="■",1,IF(M121="■",2,0))</f>
        <v>2A:field223:0</v>
      </c>
    </row>
    <row r="122" spans="1:38" s="109" customFormat="1" ht="18.75" customHeight="1" x14ac:dyDescent="0.15">
      <c r="A122" s="193"/>
      <c r="B122" s="194"/>
      <c r="C122" s="99"/>
      <c r="D122" s="100"/>
      <c r="E122" s="103"/>
      <c r="F122" s="100"/>
      <c r="G122" s="101"/>
      <c r="H122" s="104" t="s">
        <v>201</v>
      </c>
      <c r="I122" s="134" t="s">
        <v>184</v>
      </c>
      <c r="J122" s="135" t="s">
        <v>185</v>
      </c>
      <c r="K122" s="136"/>
      <c r="L122" s="137"/>
      <c r="M122" s="138" t="s">
        <v>184</v>
      </c>
      <c r="N122" s="135" t="s">
        <v>193</v>
      </c>
      <c r="O122" s="139"/>
      <c r="P122" s="135"/>
      <c r="Q122" s="140"/>
      <c r="R122" s="140"/>
      <c r="S122" s="140"/>
      <c r="T122" s="140"/>
      <c r="U122" s="140"/>
      <c r="V122" s="140"/>
      <c r="W122" s="140"/>
      <c r="X122" s="141"/>
      <c r="Y122" s="95"/>
      <c r="Z122" s="95"/>
      <c r="AA122" s="95"/>
      <c r="AB122" s="96"/>
      <c r="AC122" s="409"/>
      <c r="AD122" s="409"/>
      <c r="AE122" s="409"/>
      <c r="AF122" s="409"/>
      <c r="AI122" s="109" t="str">
        <f>"2A:field232:" &amp; IF(I122="■",1,IF(M122="■",2,0))</f>
        <v>2A:field232:0</v>
      </c>
    </row>
    <row r="123" spans="1:38" ht="19.5" customHeight="1" x14ac:dyDescent="0.15">
      <c r="A123" s="97"/>
      <c r="B123" s="204"/>
      <c r="C123" s="99"/>
      <c r="D123" s="100"/>
      <c r="E123" s="101"/>
      <c r="F123" s="102"/>
      <c r="G123" s="103"/>
      <c r="H123" s="104" t="s">
        <v>222</v>
      </c>
      <c r="I123" s="134" t="s">
        <v>184</v>
      </c>
      <c r="J123" s="105" t="s">
        <v>220</v>
      </c>
      <c r="K123" s="150"/>
      <c r="L123" s="106"/>
      <c r="M123" s="138" t="s">
        <v>184</v>
      </c>
      <c r="N123" s="105" t="s">
        <v>221</v>
      </c>
      <c r="O123" s="181"/>
      <c r="P123" s="105"/>
      <c r="Q123" s="131"/>
      <c r="R123" s="131"/>
      <c r="S123" s="131"/>
      <c r="T123" s="131"/>
      <c r="U123" s="131"/>
      <c r="V123" s="131"/>
      <c r="W123" s="131"/>
      <c r="X123" s="132"/>
      <c r="Y123" s="148"/>
      <c r="Z123" s="94"/>
      <c r="AA123" s="95"/>
      <c r="AB123" s="96"/>
      <c r="AC123" s="409"/>
      <c r="AD123" s="409"/>
      <c r="AE123" s="409"/>
      <c r="AF123" s="409"/>
      <c r="AG123" s="145"/>
      <c r="AH123" s="145"/>
      <c r="AI123" s="109" t="str">
        <f>"2A:field242:" &amp; IF(I123="■",1,IF(M123="■",2,0))</f>
        <v>2A:field242:0</v>
      </c>
      <c r="AJ123" s="145"/>
      <c r="AK123" s="145"/>
      <c r="AL123" s="145"/>
    </row>
    <row r="124" spans="1:38" s="109" customFormat="1" ht="18.75" customHeight="1" x14ac:dyDescent="0.15">
      <c r="A124" s="193"/>
      <c r="B124" s="194"/>
      <c r="C124" s="99"/>
      <c r="D124" s="100"/>
      <c r="E124" s="103"/>
      <c r="F124" s="100"/>
      <c r="G124" s="101"/>
      <c r="H124" s="180" t="s">
        <v>112</v>
      </c>
      <c r="I124" s="134" t="s">
        <v>184</v>
      </c>
      <c r="J124" s="135" t="s">
        <v>153</v>
      </c>
      <c r="K124" s="136"/>
      <c r="L124" s="137"/>
      <c r="M124" s="138" t="s">
        <v>184</v>
      </c>
      <c r="N124" s="135" t="s">
        <v>161</v>
      </c>
      <c r="O124" s="140"/>
      <c r="P124" s="140"/>
      <c r="Q124" s="140"/>
      <c r="R124" s="140"/>
      <c r="S124" s="140"/>
      <c r="T124" s="140"/>
      <c r="U124" s="140"/>
      <c r="V124" s="140"/>
      <c r="W124" s="140"/>
      <c r="X124" s="141"/>
      <c r="Y124" s="133"/>
      <c r="Z124" s="95"/>
      <c r="AA124" s="95"/>
      <c r="AB124" s="96"/>
      <c r="AC124" s="409"/>
      <c r="AD124" s="409"/>
      <c r="AE124" s="409"/>
      <c r="AF124" s="409"/>
      <c r="AI124" s="109" t="str">
        <f>"2A:field190:" &amp; IF(I124="■",1,IF(M124="■",2,0))</f>
        <v>2A:field190:0</v>
      </c>
    </row>
    <row r="125" spans="1:38" s="109" customFormat="1" ht="18.75" customHeight="1" x14ac:dyDescent="0.15">
      <c r="A125" s="193"/>
      <c r="B125" s="194"/>
      <c r="C125" s="99"/>
      <c r="D125" s="100"/>
      <c r="E125" s="103"/>
      <c r="F125" s="100"/>
      <c r="G125" s="101"/>
      <c r="H125" s="180" t="s">
        <v>113</v>
      </c>
      <c r="I125" s="134" t="s">
        <v>184</v>
      </c>
      <c r="J125" s="135" t="s">
        <v>153</v>
      </c>
      <c r="K125" s="136"/>
      <c r="L125" s="137"/>
      <c r="M125" s="138" t="s">
        <v>184</v>
      </c>
      <c r="N125" s="135" t="s">
        <v>161</v>
      </c>
      <c r="O125" s="140"/>
      <c r="P125" s="140"/>
      <c r="Q125" s="140"/>
      <c r="R125" s="140"/>
      <c r="S125" s="140"/>
      <c r="T125" s="140"/>
      <c r="U125" s="140"/>
      <c r="V125" s="140"/>
      <c r="W125" s="140"/>
      <c r="X125" s="141"/>
      <c r="Y125" s="133"/>
      <c r="Z125" s="95"/>
      <c r="AA125" s="95"/>
      <c r="AB125" s="96"/>
      <c r="AC125" s="409"/>
      <c r="AD125" s="409"/>
      <c r="AE125" s="409"/>
      <c r="AF125" s="409"/>
      <c r="AI125" s="109" t="str">
        <f>"2A:field191:" &amp; IF(I125="■",1,IF(M125="■",2,0))</f>
        <v>2A:field191:0</v>
      </c>
    </row>
    <row r="126" spans="1:38" s="109" customFormat="1" ht="18.75" customHeight="1" x14ac:dyDescent="0.15">
      <c r="A126" s="173" t="s">
        <v>184</v>
      </c>
      <c r="B126" s="194" t="s">
        <v>129</v>
      </c>
      <c r="C126" s="99" t="s">
        <v>119</v>
      </c>
      <c r="D126" s="174" t="s">
        <v>184</v>
      </c>
      <c r="E126" s="103" t="s">
        <v>181</v>
      </c>
      <c r="F126" s="174" t="s">
        <v>184</v>
      </c>
      <c r="G126" s="101" t="s">
        <v>168</v>
      </c>
      <c r="H126" s="180" t="s">
        <v>93</v>
      </c>
      <c r="I126" s="134" t="s">
        <v>184</v>
      </c>
      <c r="J126" s="135" t="s">
        <v>142</v>
      </c>
      <c r="K126" s="136"/>
      <c r="L126" s="138" t="s">
        <v>184</v>
      </c>
      <c r="M126" s="135" t="s">
        <v>150</v>
      </c>
      <c r="N126" s="140"/>
      <c r="O126" s="140"/>
      <c r="P126" s="140"/>
      <c r="Q126" s="140"/>
      <c r="R126" s="140"/>
      <c r="S126" s="140"/>
      <c r="T126" s="140"/>
      <c r="U126" s="140"/>
      <c r="V126" s="140"/>
      <c r="W126" s="140"/>
      <c r="X126" s="141"/>
      <c r="Y126" s="133"/>
      <c r="Z126" s="95"/>
      <c r="AA126" s="95"/>
      <c r="AB126" s="96"/>
      <c r="AC126" s="409"/>
      <c r="AD126" s="409"/>
      <c r="AE126" s="409"/>
      <c r="AF126" s="409"/>
      <c r="AI126" s="109" t="str">
        <f>"2A:jyakuninti_uke_code:" &amp; IF(I126="■",1,IF(L126="■",2,0))</f>
        <v>2A:jyakuninti_uke_code:0</v>
      </c>
    </row>
    <row r="127" spans="1:38" s="109" customFormat="1" ht="18.75" customHeight="1" x14ac:dyDescent="0.15">
      <c r="A127" s="193"/>
      <c r="B127" s="194"/>
      <c r="C127" s="99"/>
      <c r="D127" s="100"/>
      <c r="E127" s="103"/>
      <c r="F127" s="100"/>
      <c r="G127" s="101"/>
      <c r="H127" s="180" t="s">
        <v>88</v>
      </c>
      <c r="I127" s="134" t="s">
        <v>184</v>
      </c>
      <c r="J127" s="135" t="s">
        <v>148</v>
      </c>
      <c r="K127" s="136"/>
      <c r="L127" s="137"/>
      <c r="M127" s="138" t="s">
        <v>184</v>
      </c>
      <c r="N127" s="135" t="s">
        <v>149</v>
      </c>
      <c r="O127" s="140"/>
      <c r="P127" s="140"/>
      <c r="Q127" s="140"/>
      <c r="R127" s="140"/>
      <c r="S127" s="140"/>
      <c r="T127" s="140"/>
      <c r="U127" s="140"/>
      <c r="V127" s="140"/>
      <c r="W127" s="140"/>
      <c r="X127" s="141"/>
      <c r="Y127" s="133"/>
      <c r="Z127" s="95"/>
      <c r="AA127" s="95"/>
      <c r="AB127" s="96"/>
      <c r="AC127" s="409"/>
      <c r="AD127" s="409"/>
      <c r="AE127" s="409"/>
      <c r="AF127" s="409"/>
      <c r="AI127" s="109" t="str">
        <f>"2A:sougei_code:" &amp; IF(I127="■",1,IF(M127="■",2,0))</f>
        <v>2A:sougei_code:0</v>
      </c>
    </row>
    <row r="128" spans="1:38" s="109" customFormat="1" ht="19.5" customHeight="1" x14ac:dyDescent="0.15">
      <c r="A128" s="193"/>
      <c r="B128" s="194"/>
      <c r="C128" s="99"/>
      <c r="D128" s="100"/>
      <c r="E128" s="103"/>
      <c r="F128" s="100"/>
      <c r="G128" s="101"/>
      <c r="H128" s="104" t="s">
        <v>194</v>
      </c>
      <c r="I128" s="134" t="s">
        <v>184</v>
      </c>
      <c r="J128" s="135" t="s">
        <v>142</v>
      </c>
      <c r="K128" s="135"/>
      <c r="L128" s="138" t="s">
        <v>184</v>
      </c>
      <c r="M128" s="135" t="s">
        <v>150</v>
      </c>
      <c r="N128" s="135"/>
      <c r="O128" s="140"/>
      <c r="P128" s="135"/>
      <c r="Q128" s="140"/>
      <c r="R128" s="140"/>
      <c r="S128" s="140"/>
      <c r="T128" s="140"/>
      <c r="U128" s="140"/>
      <c r="V128" s="140"/>
      <c r="W128" s="140"/>
      <c r="X128" s="141"/>
      <c r="Y128" s="95"/>
      <c r="Z128" s="95"/>
      <c r="AA128" s="95"/>
      <c r="AB128" s="96"/>
      <c r="AC128" s="409"/>
      <c r="AD128" s="409"/>
      <c r="AE128" s="409"/>
      <c r="AF128" s="409"/>
      <c r="AI128" s="109" t="str">
        <f>"2A:field224:" &amp; IF(I128="■",1,IF(L128="■",2,0))</f>
        <v>2A:field224:0</v>
      </c>
    </row>
    <row r="129" spans="1:36" s="109" customFormat="1" ht="18.75" customHeight="1" x14ac:dyDescent="0.15">
      <c r="A129" s="193"/>
      <c r="B129" s="194"/>
      <c r="C129" s="99"/>
      <c r="D129" s="100"/>
      <c r="E129" s="103"/>
      <c r="F129" s="100"/>
      <c r="G129" s="101"/>
      <c r="H129" s="180" t="s">
        <v>94</v>
      </c>
      <c r="I129" s="134" t="s">
        <v>184</v>
      </c>
      <c r="J129" s="135" t="s">
        <v>142</v>
      </c>
      <c r="K129" s="136"/>
      <c r="L129" s="138" t="s">
        <v>184</v>
      </c>
      <c r="M129" s="135" t="s">
        <v>150</v>
      </c>
      <c r="N129" s="140"/>
      <c r="O129" s="140"/>
      <c r="P129" s="140"/>
      <c r="Q129" s="140"/>
      <c r="R129" s="140"/>
      <c r="S129" s="140"/>
      <c r="T129" s="140"/>
      <c r="U129" s="140"/>
      <c r="V129" s="140"/>
      <c r="W129" s="140"/>
      <c r="X129" s="141"/>
      <c r="Y129" s="133"/>
      <c r="Z129" s="95"/>
      <c r="AA129" s="95"/>
      <c r="AB129" s="96"/>
      <c r="AC129" s="409"/>
      <c r="AD129" s="409"/>
      <c r="AE129" s="409"/>
      <c r="AF129" s="409"/>
      <c r="AI129" s="109" t="str">
        <f>"2A:ryouyoushoku_code:" &amp; IF(I129="■",1,IF(L129="■",2,0))</f>
        <v>2A:ryouyoushoku_code:0</v>
      </c>
    </row>
    <row r="130" spans="1:36" s="109" customFormat="1" ht="18.75" customHeight="1" x14ac:dyDescent="0.15">
      <c r="A130" s="193"/>
      <c r="B130" s="194"/>
      <c r="C130" s="99"/>
      <c r="D130" s="100"/>
      <c r="E130" s="103"/>
      <c r="F130" s="100"/>
      <c r="G130" s="101"/>
      <c r="H130" s="180" t="s">
        <v>95</v>
      </c>
      <c r="I130" s="134" t="s">
        <v>184</v>
      </c>
      <c r="J130" s="135" t="s">
        <v>142</v>
      </c>
      <c r="K130" s="135"/>
      <c r="L130" s="138" t="s">
        <v>184</v>
      </c>
      <c r="M130" s="135" t="s">
        <v>143</v>
      </c>
      <c r="N130" s="135"/>
      <c r="O130" s="138" t="s">
        <v>184</v>
      </c>
      <c r="P130" s="135" t="s">
        <v>144</v>
      </c>
      <c r="Q130" s="140"/>
      <c r="R130" s="140"/>
      <c r="S130" s="140"/>
      <c r="T130" s="140"/>
      <c r="U130" s="140"/>
      <c r="V130" s="140"/>
      <c r="W130" s="140"/>
      <c r="X130" s="141"/>
      <c r="Y130" s="133"/>
      <c r="Z130" s="95"/>
      <c r="AA130" s="95"/>
      <c r="AB130" s="96"/>
      <c r="AC130" s="409"/>
      <c r="AD130" s="409"/>
      <c r="AE130" s="409"/>
      <c r="AF130" s="409"/>
      <c r="AI130" s="109" t="str">
        <f>"2A:ninti_senmoncare_code:" &amp; IF(I130="■",1,IF(O130="■",3,IF(L130="■",2,0)))</f>
        <v>2A:ninti_senmoncare_code:0</v>
      </c>
    </row>
    <row r="131" spans="1:36" s="109" customFormat="1" ht="18.75" customHeight="1" x14ac:dyDescent="0.15">
      <c r="A131" s="193"/>
      <c r="B131" s="194"/>
      <c r="C131" s="99"/>
      <c r="D131" s="100"/>
      <c r="E131" s="103"/>
      <c r="F131" s="100"/>
      <c r="G131" s="101"/>
      <c r="H131" s="180" t="s">
        <v>130</v>
      </c>
      <c r="I131" s="134" t="s">
        <v>184</v>
      </c>
      <c r="J131" s="135" t="s">
        <v>142</v>
      </c>
      <c r="K131" s="135"/>
      <c r="L131" s="138" t="s">
        <v>184</v>
      </c>
      <c r="M131" s="135" t="s">
        <v>143</v>
      </c>
      <c r="N131" s="135"/>
      <c r="O131" s="138" t="s">
        <v>184</v>
      </c>
      <c r="P131" s="135" t="s">
        <v>144</v>
      </c>
      <c r="Q131" s="140"/>
      <c r="R131" s="140"/>
      <c r="S131" s="140"/>
      <c r="T131" s="140"/>
      <c r="U131" s="140"/>
      <c r="V131" s="140"/>
      <c r="W131" s="140"/>
      <c r="X131" s="141"/>
      <c r="Y131" s="133"/>
      <c r="Z131" s="95"/>
      <c r="AA131" s="95"/>
      <c r="AB131" s="96"/>
      <c r="AC131" s="409"/>
      <c r="AD131" s="409"/>
      <c r="AE131" s="409"/>
      <c r="AF131" s="409"/>
      <c r="AI131" s="109" t="str">
        <f>"2A:field164:" &amp; IF(I131="■",1,IF(L131="■",2,IF(O131="■",3,0)))</f>
        <v>2A:field164:0</v>
      </c>
    </row>
    <row r="132" spans="1:36" s="109" customFormat="1" ht="18.75" customHeight="1" x14ac:dyDescent="0.15">
      <c r="A132" s="193"/>
      <c r="B132" s="194"/>
      <c r="C132" s="99"/>
      <c r="D132" s="100"/>
      <c r="E132" s="103"/>
      <c r="F132" s="100"/>
      <c r="G132" s="101"/>
      <c r="H132" s="184" t="s">
        <v>199</v>
      </c>
      <c r="I132" s="134" t="s">
        <v>184</v>
      </c>
      <c r="J132" s="135" t="s">
        <v>142</v>
      </c>
      <c r="K132" s="135"/>
      <c r="L132" s="138" t="s">
        <v>184</v>
      </c>
      <c r="M132" s="135" t="s">
        <v>143</v>
      </c>
      <c r="N132" s="135"/>
      <c r="O132" s="138" t="s">
        <v>184</v>
      </c>
      <c r="P132" s="135" t="s">
        <v>144</v>
      </c>
      <c r="Q132" s="140"/>
      <c r="R132" s="140"/>
      <c r="S132" s="140"/>
      <c r="T132" s="140"/>
      <c r="U132" s="185"/>
      <c r="V132" s="185"/>
      <c r="W132" s="185"/>
      <c r="X132" s="186"/>
      <c r="Y132" s="133"/>
      <c r="Z132" s="95"/>
      <c r="AA132" s="95"/>
      <c r="AB132" s="96"/>
      <c r="AC132" s="409"/>
      <c r="AD132" s="409"/>
      <c r="AE132" s="409"/>
      <c r="AF132" s="409"/>
      <c r="AI132" s="109" t="str">
        <f>"2A:field225:" &amp; IF(I132="■",1,IF(L132="■",2,IF(O132="■",3,0)))</f>
        <v>2A:field225:0</v>
      </c>
    </row>
    <row r="133" spans="1:36" s="109" customFormat="1" ht="18.75" customHeight="1" x14ac:dyDescent="0.15">
      <c r="A133" s="193"/>
      <c r="B133" s="194"/>
      <c r="C133" s="99"/>
      <c r="D133" s="100"/>
      <c r="E133" s="103"/>
      <c r="F133" s="100"/>
      <c r="G133" s="101"/>
      <c r="H133" s="142" t="s">
        <v>96</v>
      </c>
      <c r="I133" s="134" t="s">
        <v>184</v>
      </c>
      <c r="J133" s="135" t="s">
        <v>142</v>
      </c>
      <c r="K133" s="135"/>
      <c r="L133" s="138" t="s">
        <v>184</v>
      </c>
      <c r="M133" s="135" t="s">
        <v>146</v>
      </c>
      <c r="N133" s="135"/>
      <c r="O133" s="138" t="s">
        <v>184</v>
      </c>
      <c r="P133" s="135" t="s">
        <v>147</v>
      </c>
      <c r="Q133" s="210"/>
      <c r="R133" s="138" t="s">
        <v>184</v>
      </c>
      <c r="S133" s="135" t="s">
        <v>151</v>
      </c>
      <c r="T133" s="210"/>
      <c r="U133" s="210"/>
      <c r="V133" s="210"/>
      <c r="W133" s="210"/>
      <c r="X133" s="167"/>
      <c r="Y133" s="133"/>
      <c r="Z133" s="95"/>
      <c r="AA133" s="95"/>
      <c r="AB133" s="96"/>
      <c r="AC133" s="409"/>
      <c r="AD133" s="409"/>
      <c r="AE133" s="409"/>
      <c r="AF133" s="409"/>
      <c r="AI133" s="109" t="str">
        <f>"2A:serteikyo_kyoka_code:" &amp; IF(I133="■",1,IF(L133="■",6,IF(O133="■",5,IF(R133="■",7,0))))</f>
        <v>2A:serteikyo_kyoka_code:0</v>
      </c>
    </row>
    <row r="134" spans="1:36" s="109" customFormat="1" ht="18.75" customHeight="1" x14ac:dyDescent="0.15">
      <c r="A134" s="193"/>
      <c r="B134" s="194"/>
      <c r="C134" s="99"/>
      <c r="D134" s="100"/>
      <c r="E134" s="103"/>
      <c r="F134" s="100"/>
      <c r="G134" s="101"/>
      <c r="H134" s="367" t="s">
        <v>209</v>
      </c>
      <c r="I134" s="411" t="s">
        <v>184</v>
      </c>
      <c r="J134" s="412" t="s">
        <v>142</v>
      </c>
      <c r="K134" s="412"/>
      <c r="L134" s="413" t="s">
        <v>184</v>
      </c>
      <c r="M134" s="412" t="s">
        <v>150</v>
      </c>
      <c r="N134" s="412"/>
      <c r="O134" s="146"/>
      <c r="P134" s="146"/>
      <c r="Q134" s="146"/>
      <c r="R134" s="146"/>
      <c r="S134" s="146"/>
      <c r="T134" s="146"/>
      <c r="U134" s="146"/>
      <c r="V134" s="146"/>
      <c r="W134" s="146"/>
      <c r="X134" s="149"/>
      <c r="Y134" s="133"/>
      <c r="Z134" s="95"/>
      <c r="AA134" s="95"/>
      <c r="AB134" s="96"/>
      <c r="AC134" s="409"/>
      <c r="AD134" s="409"/>
      <c r="AE134" s="409"/>
      <c r="AF134" s="409"/>
      <c r="AI134" s="109" t="str">
        <f>"2A:field221:" &amp; IF(I134="■",1,IF(L134="■",2,0))</f>
        <v>2A:field221:0</v>
      </c>
    </row>
    <row r="135" spans="1:36" s="109" customFormat="1" ht="18.75" customHeight="1" x14ac:dyDescent="0.15">
      <c r="A135" s="193"/>
      <c r="B135" s="194"/>
      <c r="C135" s="99"/>
      <c r="D135" s="100"/>
      <c r="E135" s="103"/>
      <c r="F135" s="100"/>
      <c r="G135" s="101"/>
      <c r="H135" s="368"/>
      <c r="I135" s="411"/>
      <c r="J135" s="412"/>
      <c r="K135" s="412"/>
      <c r="L135" s="413"/>
      <c r="M135" s="412"/>
      <c r="N135" s="412"/>
      <c r="O135" s="105"/>
      <c r="P135" s="105"/>
      <c r="Q135" s="105"/>
      <c r="R135" s="105"/>
      <c r="S135" s="105"/>
      <c r="T135" s="105"/>
      <c r="U135" s="105"/>
      <c r="V135" s="105"/>
      <c r="W135" s="105"/>
      <c r="X135" s="147"/>
      <c r="Y135" s="133"/>
      <c r="Z135" s="95"/>
      <c r="AA135" s="95"/>
      <c r="AB135" s="96"/>
      <c r="AC135" s="409"/>
      <c r="AD135" s="409"/>
      <c r="AE135" s="409"/>
      <c r="AF135" s="409"/>
    </row>
    <row r="136" spans="1:36" s="109" customFormat="1" ht="18.75" customHeight="1" x14ac:dyDescent="0.15">
      <c r="A136" s="97"/>
      <c r="B136" s="204"/>
      <c r="C136" s="99"/>
      <c r="D136" s="100"/>
      <c r="E136" s="101"/>
      <c r="F136" s="102"/>
      <c r="G136" s="103"/>
      <c r="H136" s="201" t="s">
        <v>208</v>
      </c>
      <c r="I136" s="206" t="s">
        <v>184</v>
      </c>
      <c r="J136" s="146" t="s">
        <v>142</v>
      </c>
      <c r="K136" s="146"/>
      <c r="L136" s="208" t="s">
        <v>184</v>
      </c>
      <c r="M136" s="146" t="s">
        <v>195</v>
      </c>
      <c r="N136" s="187"/>
      <c r="O136" s="208" t="s">
        <v>184</v>
      </c>
      <c r="P136" s="94" t="s">
        <v>196</v>
      </c>
      <c r="Q136" s="188"/>
      <c r="R136" s="208" t="s">
        <v>184</v>
      </c>
      <c r="S136" s="146" t="s">
        <v>197</v>
      </c>
      <c r="T136" s="188"/>
      <c r="U136" s="208" t="s">
        <v>184</v>
      </c>
      <c r="V136" s="146" t="s">
        <v>198</v>
      </c>
      <c r="W136" s="185"/>
      <c r="X136" s="186"/>
      <c r="Y136" s="95"/>
      <c r="Z136" s="95"/>
      <c r="AA136" s="95"/>
      <c r="AB136" s="96"/>
      <c r="AC136" s="409"/>
      <c r="AD136" s="409"/>
      <c r="AE136" s="409"/>
      <c r="AF136" s="409"/>
      <c r="AI136" s="109" t="str">
        <f>"2A:shoguukaizen_code:"&amp;IF(I136="■",1,IF(L136="■",7,IF(O136="■",8,IF(R136="■",9,IF(U136="■","A",0)))))</f>
        <v>2A:shoguukaizen_code:0</v>
      </c>
    </row>
    <row r="137" spans="1:36" s="109" customFormat="1" ht="18.75" customHeight="1" x14ac:dyDescent="0.15">
      <c r="A137" s="191"/>
      <c r="B137" s="192"/>
      <c r="C137" s="121"/>
      <c r="D137" s="122"/>
      <c r="E137" s="116"/>
      <c r="F137" s="123"/>
      <c r="G137" s="116"/>
      <c r="H137" s="352" t="s">
        <v>89</v>
      </c>
      <c r="I137" s="195" t="s">
        <v>184</v>
      </c>
      <c r="J137" s="114" t="s">
        <v>153</v>
      </c>
      <c r="K137" s="199"/>
      <c r="L137" s="178"/>
      <c r="M137" s="197" t="s">
        <v>184</v>
      </c>
      <c r="N137" s="114" t="s">
        <v>157</v>
      </c>
      <c r="O137" s="196"/>
      <c r="P137" s="196"/>
      <c r="Q137" s="197" t="s">
        <v>184</v>
      </c>
      <c r="R137" s="114" t="s">
        <v>158</v>
      </c>
      <c r="S137" s="196"/>
      <c r="T137" s="196"/>
      <c r="U137" s="197" t="s">
        <v>184</v>
      </c>
      <c r="V137" s="114" t="s">
        <v>159</v>
      </c>
      <c r="W137" s="196"/>
      <c r="X137" s="172"/>
      <c r="Y137" s="197" t="s">
        <v>184</v>
      </c>
      <c r="Z137" s="114" t="s">
        <v>141</v>
      </c>
      <c r="AA137" s="114"/>
      <c r="AB137" s="127"/>
      <c r="AC137" s="407"/>
      <c r="AD137" s="407"/>
      <c r="AE137" s="407"/>
      <c r="AF137" s="407"/>
      <c r="AG137" s="109" t="str">
        <f>"ser_code = '" &amp; IF(A149="■","2A","") &amp; "'"</f>
        <v>ser_code = ''</v>
      </c>
      <c r="AH137" s="109" t="str">
        <f>"2A:jininkbn_code:"&amp;IF(F149="■",1,IF(F150="■",2,0))</f>
        <v>2A:jininkbn_code:0</v>
      </c>
      <c r="AI137" s="109" t="str">
        <f>"2A:yakan_kinmu_code:" &amp; IF(I137="■",1,IF(M137="■",2,IF(Q137="■",3,IF(U137="■",7,IF(I138="■",5,IF(M138="■",6,0))))))</f>
        <v>2A:yakan_kinmu_code:0</v>
      </c>
      <c r="AJ137" s="109" t="str">
        <f>"2A:field203:" &amp; IF(Y137="■",1,IF(Y138="■",2,0))</f>
        <v>2A:field203:0</v>
      </c>
    </row>
    <row r="138" spans="1:36" s="109" customFormat="1" ht="18.75" customHeight="1" x14ac:dyDescent="0.15">
      <c r="A138" s="193"/>
      <c r="B138" s="194"/>
      <c r="C138" s="99"/>
      <c r="D138" s="100"/>
      <c r="E138" s="101"/>
      <c r="F138" s="102"/>
      <c r="G138" s="101"/>
      <c r="H138" s="362"/>
      <c r="I138" s="207" t="s">
        <v>184</v>
      </c>
      <c r="J138" s="105" t="s">
        <v>160</v>
      </c>
      <c r="K138" s="150"/>
      <c r="L138" s="106"/>
      <c r="M138" s="209" t="s">
        <v>184</v>
      </c>
      <c r="N138" s="105" t="s">
        <v>154</v>
      </c>
      <c r="O138" s="202"/>
      <c r="P138" s="202"/>
      <c r="Q138" s="202"/>
      <c r="R138" s="202"/>
      <c r="S138" s="202"/>
      <c r="T138" s="202"/>
      <c r="U138" s="202"/>
      <c r="V138" s="202"/>
      <c r="W138" s="202"/>
      <c r="X138" s="211"/>
      <c r="Y138" s="174" t="s">
        <v>184</v>
      </c>
      <c r="Z138" s="94" t="s">
        <v>145</v>
      </c>
      <c r="AA138" s="95"/>
      <c r="AB138" s="96"/>
      <c r="AC138" s="408"/>
      <c r="AD138" s="408"/>
      <c r="AE138" s="408"/>
      <c r="AF138" s="408"/>
      <c r="AG138" s="109" t="str">
        <f>"2A:sisetukbn_code:"&amp;IF(D149="■","4",0)</f>
        <v>2A:sisetukbn_code:0</v>
      </c>
    </row>
    <row r="139" spans="1:36" s="109" customFormat="1" ht="18.75" customHeight="1" x14ac:dyDescent="0.15">
      <c r="A139" s="193"/>
      <c r="B139" s="194"/>
      <c r="C139" s="99"/>
      <c r="D139" s="100"/>
      <c r="E139" s="101"/>
      <c r="F139" s="102"/>
      <c r="G139" s="101"/>
      <c r="H139" s="366" t="s">
        <v>87</v>
      </c>
      <c r="I139" s="206" t="s">
        <v>184</v>
      </c>
      <c r="J139" s="146" t="s">
        <v>142</v>
      </c>
      <c r="K139" s="146"/>
      <c r="L139" s="171"/>
      <c r="M139" s="208" t="s">
        <v>184</v>
      </c>
      <c r="N139" s="146" t="s">
        <v>152</v>
      </c>
      <c r="O139" s="146"/>
      <c r="P139" s="171"/>
      <c r="Q139" s="208" t="s">
        <v>184</v>
      </c>
      <c r="R139" s="205" t="s">
        <v>173</v>
      </c>
      <c r="S139" s="205"/>
      <c r="T139" s="205"/>
      <c r="U139" s="185"/>
      <c r="V139" s="171"/>
      <c r="W139" s="205"/>
      <c r="X139" s="186"/>
      <c r="Y139" s="133"/>
      <c r="Z139" s="95"/>
      <c r="AA139" s="95"/>
      <c r="AB139" s="96"/>
      <c r="AC139" s="409"/>
      <c r="AD139" s="409"/>
      <c r="AE139" s="409"/>
      <c r="AF139" s="409"/>
      <c r="AI139" s="109" t="str">
        <f>"2A:"&amp;IF(AND(I139="□",M139="□",Q139="□",I140="□",M140="□"),"ketu_doctor_code:0",IF(I139="■","ketu_doctor_code:1:field197:1:ketu_kangos_code:1:ketu_kshoku_code:1",IF(M139="■","ketu_doctor_code:2","ketu_doctor_code:1")
&amp;IF(Q139="■",":field197:2",":field197:1")
&amp;IF(I140="■",":ketu_kangos_code:2",":ketu_kangos_code:1")
&amp;IF(M140="■",":ketu_kshoku_code:2",":ketu_kshoku_code:1")))</f>
        <v>2A:ketu_doctor_code:0</v>
      </c>
    </row>
    <row r="140" spans="1:36" s="109" customFormat="1" ht="18.75" customHeight="1" x14ac:dyDescent="0.15">
      <c r="A140" s="193"/>
      <c r="B140" s="194"/>
      <c r="C140" s="99"/>
      <c r="D140" s="100"/>
      <c r="E140" s="101"/>
      <c r="F140" s="102"/>
      <c r="G140" s="101"/>
      <c r="H140" s="362"/>
      <c r="I140" s="207" t="s">
        <v>184</v>
      </c>
      <c r="J140" s="202" t="s">
        <v>174</v>
      </c>
      <c r="K140" s="202"/>
      <c r="L140" s="202"/>
      <c r="M140" s="209" t="s">
        <v>184</v>
      </c>
      <c r="N140" s="202" t="s">
        <v>175</v>
      </c>
      <c r="O140" s="106"/>
      <c r="P140" s="202"/>
      <c r="Q140" s="202"/>
      <c r="R140" s="106"/>
      <c r="S140" s="202"/>
      <c r="T140" s="202"/>
      <c r="U140" s="131"/>
      <c r="V140" s="106"/>
      <c r="W140" s="202"/>
      <c r="X140" s="132"/>
      <c r="Y140" s="133"/>
      <c r="Z140" s="95"/>
      <c r="AA140" s="95"/>
      <c r="AB140" s="96"/>
      <c r="AC140" s="409"/>
      <c r="AD140" s="409"/>
      <c r="AE140" s="409"/>
      <c r="AF140" s="409"/>
    </row>
    <row r="141" spans="1:36" s="109" customFormat="1" ht="18.75" customHeight="1" x14ac:dyDescent="0.15">
      <c r="A141" s="193"/>
      <c r="B141" s="194"/>
      <c r="C141" s="99"/>
      <c r="D141" s="100"/>
      <c r="E141" s="101"/>
      <c r="F141" s="102"/>
      <c r="G141" s="101"/>
      <c r="H141" s="180" t="s">
        <v>90</v>
      </c>
      <c r="I141" s="134" t="s">
        <v>184</v>
      </c>
      <c r="J141" s="135" t="s">
        <v>148</v>
      </c>
      <c r="K141" s="136"/>
      <c r="L141" s="137"/>
      <c r="M141" s="138" t="s">
        <v>184</v>
      </c>
      <c r="N141" s="135" t="s">
        <v>149</v>
      </c>
      <c r="O141" s="140"/>
      <c r="P141" s="140"/>
      <c r="Q141" s="140"/>
      <c r="R141" s="140"/>
      <c r="S141" s="140"/>
      <c r="T141" s="140"/>
      <c r="U141" s="140"/>
      <c r="V141" s="140"/>
      <c r="W141" s="140"/>
      <c r="X141" s="141"/>
      <c r="Y141" s="133"/>
      <c r="Z141" s="95"/>
      <c r="AA141" s="95"/>
      <c r="AB141" s="96"/>
      <c r="AC141" s="409"/>
      <c r="AD141" s="409"/>
      <c r="AE141" s="409"/>
      <c r="AF141" s="409"/>
      <c r="AI141" s="109" t="str">
        <f>"2A:unitcare_code:" &amp; IF(I141="■",1,IF(M141="■",2,0))</f>
        <v>2A:unitcare_code:0</v>
      </c>
    </row>
    <row r="142" spans="1:36" s="109" customFormat="1" ht="18.75" customHeight="1" x14ac:dyDescent="0.15">
      <c r="A142" s="97"/>
      <c r="B142" s="204"/>
      <c r="C142" s="182"/>
      <c r="D142" s="183"/>
      <c r="E142" s="101"/>
      <c r="F142" s="102"/>
      <c r="G142" s="103"/>
      <c r="H142" s="180" t="s">
        <v>92</v>
      </c>
      <c r="I142" s="134" t="s">
        <v>184</v>
      </c>
      <c r="J142" s="135" t="s">
        <v>185</v>
      </c>
      <c r="K142" s="136"/>
      <c r="L142" s="137"/>
      <c r="M142" s="138" t="s">
        <v>184</v>
      </c>
      <c r="N142" s="135" t="s">
        <v>186</v>
      </c>
      <c r="O142" s="136"/>
      <c r="P142" s="136"/>
      <c r="Q142" s="136"/>
      <c r="R142" s="136"/>
      <c r="S142" s="136"/>
      <c r="T142" s="136"/>
      <c r="U142" s="136"/>
      <c r="V142" s="136"/>
      <c r="W142" s="136"/>
      <c r="X142" s="144"/>
      <c r="Y142" s="133"/>
      <c r="Z142" s="95"/>
      <c r="AA142" s="95"/>
      <c r="AB142" s="96"/>
      <c r="AC142" s="409"/>
      <c r="AD142" s="409"/>
      <c r="AE142" s="409"/>
      <c r="AF142" s="409"/>
      <c r="AI142" s="109" t="str">
        <f>"2A:sintaikousoku_code:" &amp; IF(I142="■",1,IF(M142="■",2,0))</f>
        <v>2A:sintaikousoku_code:0</v>
      </c>
    </row>
    <row r="143" spans="1:36" s="109" customFormat="1" ht="19.5" customHeight="1" x14ac:dyDescent="0.15">
      <c r="A143" s="97"/>
      <c r="B143" s="204"/>
      <c r="C143" s="99"/>
      <c r="D143" s="100"/>
      <c r="E143" s="101"/>
      <c r="F143" s="102"/>
      <c r="G143" s="103"/>
      <c r="H143" s="104" t="s">
        <v>192</v>
      </c>
      <c r="I143" s="134" t="s">
        <v>184</v>
      </c>
      <c r="J143" s="135" t="s">
        <v>185</v>
      </c>
      <c r="K143" s="136"/>
      <c r="L143" s="137"/>
      <c r="M143" s="138" t="s">
        <v>184</v>
      </c>
      <c r="N143" s="135" t="s">
        <v>193</v>
      </c>
      <c r="O143" s="139"/>
      <c r="P143" s="135"/>
      <c r="Q143" s="140"/>
      <c r="R143" s="140"/>
      <c r="S143" s="140"/>
      <c r="T143" s="140"/>
      <c r="U143" s="140"/>
      <c r="V143" s="140"/>
      <c r="W143" s="140"/>
      <c r="X143" s="141"/>
      <c r="Y143" s="95"/>
      <c r="Z143" s="95"/>
      <c r="AA143" s="95"/>
      <c r="AB143" s="96"/>
      <c r="AC143" s="409"/>
      <c r="AD143" s="409"/>
      <c r="AE143" s="409"/>
      <c r="AF143" s="409"/>
      <c r="AI143" s="109" t="str">
        <f>"2A:field223:" &amp; IF(I143="■",1,IF(M143="■",2,0))</f>
        <v>2A:field223:0</v>
      </c>
    </row>
    <row r="144" spans="1:36" s="109" customFormat="1" ht="19.5" customHeight="1" x14ac:dyDescent="0.15">
      <c r="A144" s="97"/>
      <c r="B144" s="204"/>
      <c r="C144" s="99"/>
      <c r="D144" s="100"/>
      <c r="E144" s="101"/>
      <c r="F144" s="102"/>
      <c r="G144" s="103"/>
      <c r="H144" s="104" t="s">
        <v>201</v>
      </c>
      <c r="I144" s="134" t="s">
        <v>184</v>
      </c>
      <c r="J144" s="135" t="s">
        <v>185</v>
      </c>
      <c r="K144" s="136"/>
      <c r="L144" s="137"/>
      <c r="M144" s="138" t="s">
        <v>184</v>
      </c>
      <c r="N144" s="135" t="s">
        <v>193</v>
      </c>
      <c r="O144" s="139"/>
      <c r="P144" s="135"/>
      <c r="Q144" s="140"/>
      <c r="R144" s="140"/>
      <c r="S144" s="140"/>
      <c r="T144" s="140"/>
      <c r="U144" s="140"/>
      <c r="V144" s="140"/>
      <c r="W144" s="140"/>
      <c r="X144" s="141"/>
      <c r="Y144" s="95"/>
      <c r="Z144" s="95"/>
      <c r="AA144" s="95"/>
      <c r="AB144" s="96"/>
      <c r="AC144" s="409"/>
      <c r="AD144" s="409"/>
      <c r="AE144" s="409"/>
      <c r="AF144" s="409"/>
      <c r="AI144" s="109" t="str">
        <f>"2A:field232:" &amp; IF(I144="■",1,IF(M144="■",2,0))</f>
        <v>2A:field232:0</v>
      </c>
    </row>
    <row r="145" spans="1:35" s="109" customFormat="1" ht="18.75" customHeight="1" x14ac:dyDescent="0.15">
      <c r="A145" s="193"/>
      <c r="B145" s="194"/>
      <c r="C145" s="99"/>
      <c r="D145" s="100"/>
      <c r="E145" s="101"/>
      <c r="F145" s="102"/>
      <c r="G145" s="101"/>
      <c r="H145" s="180" t="s">
        <v>112</v>
      </c>
      <c r="I145" s="134" t="s">
        <v>184</v>
      </c>
      <c r="J145" s="135" t="s">
        <v>153</v>
      </c>
      <c r="K145" s="136"/>
      <c r="L145" s="137"/>
      <c r="M145" s="138" t="s">
        <v>184</v>
      </c>
      <c r="N145" s="135" t="s">
        <v>161</v>
      </c>
      <c r="O145" s="140"/>
      <c r="P145" s="140"/>
      <c r="Q145" s="140"/>
      <c r="R145" s="140"/>
      <c r="S145" s="140"/>
      <c r="T145" s="140"/>
      <c r="U145" s="140"/>
      <c r="V145" s="140"/>
      <c r="W145" s="140"/>
      <c r="X145" s="141"/>
      <c r="Y145" s="133"/>
      <c r="Z145" s="95"/>
      <c r="AA145" s="95"/>
      <c r="AB145" s="96"/>
      <c r="AC145" s="409"/>
      <c r="AD145" s="409"/>
      <c r="AE145" s="409"/>
      <c r="AF145" s="409"/>
      <c r="AI145" s="109" t="str">
        <f>"2A:field190:" &amp; IF(I145="■",1,IF(M145="■",2,0))</f>
        <v>2A:field190:0</v>
      </c>
    </row>
    <row r="146" spans="1:35" s="109" customFormat="1" ht="18.75" customHeight="1" x14ac:dyDescent="0.15">
      <c r="A146" s="193"/>
      <c r="B146" s="194"/>
      <c r="C146" s="99"/>
      <c r="D146" s="100"/>
      <c r="E146" s="101"/>
      <c r="F146" s="102"/>
      <c r="G146" s="101"/>
      <c r="H146" s="180" t="s">
        <v>113</v>
      </c>
      <c r="I146" s="134" t="s">
        <v>184</v>
      </c>
      <c r="J146" s="135" t="s">
        <v>153</v>
      </c>
      <c r="K146" s="136"/>
      <c r="L146" s="137"/>
      <c r="M146" s="138" t="s">
        <v>184</v>
      </c>
      <c r="N146" s="135" t="s">
        <v>161</v>
      </c>
      <c r="O146" s="140"/>
      <c r="P146" s="140"/>
      <c r="Q146" s="140"/>
      <c r="R146" s="140"/>
      <c r="S146" s="140"/>
      <c r="T146" s="140"/>
      <c r="U146" s="140"/>
      <c r="V146" s="140"/>
      <c r="W146" s="140"/>
      <c r="X146" s="141"/>
      <c r="Y146" s="133"/>
      <c r="Z146" s="95"/>
      <c r="AA146" s="95"/>
      <c r="AB146" s="96"/>
      <c r="AC146" s="409"/>
      <c r="AD146" s="409"/>
      <c r="AE146" s="409"/>
      <c r="AF146" s="409"/>
      <c r="AI146" s="109" t="str">
        <f>"2A:field191:" &amp; IF(I146="■",1,IF(M146="■",2,0))</f>
        <v>2A:field191:0</v>
      </c>
    </row>
    <row r="147" spans="1:35" s="109" customFormat="1" ht="18.75" customHeight="1" x14ac:dyDescent="0.15">
      <c r="A147" s="193"/>
      <c r="B147" s="194"/>
      <c r="C147" s="99"/>
      <c r="D147" s="100"/>
      <c r="E147" s="101"/>
      <c r="F147" s="102"/>
      <c r="G147" s="101"/>
      <c r="H147" s="180" t="s">
        <v>93</v>
      </c>
      <c r="I147" s="134" t="s">
        <v>184</v>
      </c>
      <c r="J147" s="135" t="s">
        <v>142</v>
      </c>
      <c r="K147" s="136"/>
      <c r="L147" s="138" t="s">
        <v>184</v>
      </c>
      <c r="M147" s="135" t="s">
        <v>150</v>
      </c>
      <c r="N147" s="140"/>
      <c r="O147" s="140"/>
      <c r="P147" s="140"/>
      <c r="Q147" s="140"/>
      <c r="R147" s="140"/>
      <c r="S147" s="140"/>
      <c r="T147" s="140"/>
      <c r="U147" s="140"/>
      <c r="V147" s="140"/>
      <c r="W147" s="140"/>
      <c r="X147" s="141"/>
      <c r="Y147" s="133"/>
      <c r="Z147" s="95"/>
      <c r="AA147" s="95"/>
      <c r="AB147" s="96"/>
      <c r="AC147" s="409"/>
      <c r="AD147" s="409"/>
      <c r="AE147" s="409"/>
      <c r="AF147" s="409"/>
      <c r="AI147" s="109" t="str">
        <f>"2A:jyakuninti_uke_code:" &amp; IF(I147="■",1,IF(L147="■",2,0))</f>
        <v>2A:jyakuninti_uke_code:0</v>
      </c>
    </row>
    <row r="148" spans="1:35" s="109" customFormat="1" ht="18.75" customHeight="1" x14ac:dyDescent="0.15">
      <c r="A148" s="193"/>
      <c r="B148" s="194"/>
      <c r="C148" s="99"/>
      <c r="D148" s="100"/>
      <c r="E148" s="101"/>
      <c r="F148" s="102"/>
      <c r="G148" s="101"/>
      <c r="H148" s="180" t="s">
        <v>88</v>
      </c>
      <c r="I148" s="134" t="s">
        <v>184</v>
      </c>
      <c r="J148" s="135" t="s">
        <v>148</v>
      </c>
      <c r="K148" s="136"/>
      <c r="L148" s="137"/>
      <c r="M148" s="138" t="s">
        <v>184</v>
      </c>
      <c r="N148" s="135" t="s">
        <v>149</v>
      </c>
      <c r="O148" s="140"/>
      <c r="P148" s="140"/>
      <c r="Q148" s="140"/>
      <c r="R148" s="140"/>
      <c r="S148" s="140"/>
      <c r="T148" s="140"/>
      <c r="U148" s="140"/>
      <c r="V148" s="140"/>
      <c r="W148" s="140"/>
      <c r="X148" s="141"/>
      <c r="Y148" s="133"/>
      <c r="Z148" s="95"/>
      <c r="AA148" s="95"/>
      <c r="AB148" s="96"/>
      <c r="AC148" s="409"/>
      <c r="AD148" s="409"/>
      <c r="AE148" s="409"/>
      <c r="AF148" s="409"/>
      <c r="AI148" s="109" t="str">
        <f>"2A:sougei_code:" &amp; IF(I148="■",1,IF(M148="■",2,0))</f>
        <v>2A:sougei_code:0</v>
      </c>
    </row>
    <row r="149" spans="1:35" s="109" customFormat="1" ht="19.5" customHeight="1" x14ac:dyDescent="0.15">
      <c r="A149" s="173" t="s">
        <v>184</v>
      </c>
      <c r="B149" s="194" t="s">
        <v>129</v>
      </c>
      <c r="C149" s="99" t="s">
        <v>119</v>
      </c>
      <c r="D149" s="174" t="s">
        <v>184</v>
      </c>
      <c r="E149" s="101" t="s">
        <v>115</v>
      </c>
      <c r="F149" s="174" t="s">
        <v>184</v>
      </c>
      <c r="G149" s="101" t="s">
        <v>169</v>
      </c>
      <c r="H149" s="104" t="s">
        <v>194</v>
      </c>
      <c r="I149" s="134" t="s">
        <v>184</v>
      </c>
      <c r="J149" s="135" t="s">
        <v>142</v>
      </c>
      <c r="K149" s="135"/>
      <c r="L149" s="138" t="s">
        <v>184</v>
      </c>
      <c r="M149" s="135" t="s">
        <v>150</v>
      </c>
      <c r="N149" s="135"/>
      <c r="O149" s="140"/>
      <c r="P149" s="135"/>
      <c r="Q149" s="140"/>
      <c r="R149" s="140"/>
      <c r="S149" s="140"/>
      <c r="T149" s="140"/>
      <c r="U149" s="140"/>
      <c r="V149" s="140"/>
      <c r="W149" s="140"/>
      <c r="X149" s="141"/>
      <c r="Y149" s="95"/>
      <c r="Z149" s="95"/>
      <c r="AA149" s="95"/>
      <c r="AB149" s="96"/>
      <c r="AC149" s="409"/>
      <c r="AD149" s="409"/>
      <c r="AE149" s="409"/>
      <c r="AF149" s="409"/>
      <c r="AI149" s="109" t="str">
        <f>"2A:field224:" &amp; IF(I149="■",1,IF(L149="■",2,0))</f>
        <v>2A:field224:0</v>
      </c>
    </row>
    <row r="150" spans="1:35" s="109" customFormat="1" ht="18.75" customHeight="1" x14ac:dyDescent="0.15">
      <c r="A150" s="193"/>
      <c r="B150" s="194"/>
      <c r="C150" s="99"/>
      <c r="D150" s="100"/>
      <c r="E150" s="101"/>
      <c r="F150" s="174" t="s">
        <v>184</v>
      </c>
      <c r="G150" s="101" t="s">
        <v>170</v>
      </c>
      <c r="H150" s="180" t="s">
        <v>94</v>
      </c>
      <c r="I150" s="134" t="s">
        <v>184</v>
      </c>
      <c r="J150" s="135" t="s">
        <v>142</v>
      </c>
      <c r="K150" s="136"/>
      <c r="L150" s="138" t="s">
        <v>184</v>
      </c>
      <c r="M150" s="135" t="s">
        <v>150</v>
      </c>
      <c r="N150" s="140"/>
      <c r="O150" s="140"/>
      <c r="P150" s="140"/>
      <c r="Q150" s="140"/>
      <c r="R150" s="140"/>
      <c r="S150" s="140"/>
      <c r="T150" s="140"/>
      <c r="U150" s="140"/>
      <c r="V150" s="140"/>
      <c r="W150" s="140"/>
      <c r="X150" s="141"/>
      <c r="Y150" s="133"/>
      <c r="Z150" s="95"/>
      <c r="AA150" s="95"/>
      <c r="AB150" s="96"/>
      <c r="AC150" s="409"/>
      <c r="AD150" s="409"/>
      <c r="AE150" s="409"/>
      <c r="AF150" s="409"/>
      <c r="AI150" s="109" t="str">
        <f>"2A:ryouyoushoku_code:" &amp; IF(I150="■",1,IF(L150="■",2,0))</f>
        <v>2A:ryouyoushoku_code:0</v>
      </c>
    </row>
    <row r="151" spans="1:35" s="109" customFormat="1" ht="18.75" customHeight="1" x14ac:dyDescent="0.15">
      <c r="A151" s="193"/>
      <c r="B151" s="194"/>
      <c r="C151" s="99"/>
      <c r="D151" s="100"/>
      <c r="E151" s="101"/>
      <c r="F151" s="100"/>
      <c r="G151" s="101"/>
      <c r="H151" s="180" t="s">
        <v>95</v>
      </c>
      <c r="I151" s="134" t="s">
        <v>184</v>
      </c>
      <c r="J151" s="135" t="s">
        <v>142</v>
      </c>
      <c r="K151" s="135"/>
      <c r="L151" s="138" t="s">
        <v>184</v>
      </c>
      <c r="M151" s="135" t="s">
        <v>143</v>
      </c>
      <c r="N151" s="135"/>
      <c r="O151" s="138" t="s">
        <v>184</v>
      </c>
      <c r="P151" s="135" t="s">
        <v>144</v>
      </c>
      <c r="Q151" s="140"/>
      <c r="R151" s="140"/>
      <c r="S151" s="140"/>
      <c r="T151" s="140"/>
      <c r="U151" s="140"/>
      <c r="V151" s="140"/>
      <c r="W151" s="140"/>
      <c r="X151" s="141"/>
      <c r="Y151" s="133"/>
      <c r="Z151" s="95"/>
      <c r="AA151" s="95"/>
      <c r="AB151" s="96"/>
      <c r="AC151" s="409"/>
      <c r="AD151" s="409"/>
      <c r="AE151" s="409"/>
      <c r="AF151" s="409"/>
      <c r="AI151" s="109" t="str">
        <f>"2A:ninti_senmoncare_code:" &amp; IF(I151="■",1,IF(O151="■",3,IF(L151="■",2,0)))</f>
        <v>2A:ninti_senmoncare_code:0</v>
      </c>
    </row>
    <row r="152" spans="1:35" s="109" customFormat="1" ht="18.75" customHeight="1" x14ac:dyDescent="0.15">
      <c r="A152" s="193"/>
      <c r="B152" s="194"/>
      <c r="C152" s="99"/>
      <c r="D152" s="100"/>
      <c r="E152" s="101"/>
      <c r="F152" s="100"/>
      <c r="G152" s="101"/>
      <c r="H152" s="180" t="s">
        <v>107</v>
      </c>
      <c r="I152" s="134" t="s">
        <v>184</v>
      </c>
      <c r="J152" s="135" t="s">
        <v>142</v>
      </c>
      <c r="K152" s="135"/>
      <c r="L152" s="138" t="s">
        <v>184</v>
      </c>
      <c r="M152" s="135" t="s">
        <v>143</v>
      </c>
      <c r="N152" s="135"/>
      <c r="O152" s="138" t="s">
        <v>184</v>
      </c>
      <c r="P152" s="135" t="s">
        <v>144</v>
      </c>
      <c r="Q152" s="140"/>
      <c r="R152" s="140"/>
      <c r="S152" s="140"/>
      <c r="T152" s="140"/>
      <c r="U152" s="140"/>
      <c r="V152" s="140"/>
      <c r="W152" s="140"/>
      <c r="X152" s="141"/>
      <c r="Y152" s="133"/>
      <c r="Z152" s="95"/>
      <c r="AA152" s="95"/>
      <c r="AB152" s="96"/>
      <c r="AC152" s="409"/>
      <c r="AD152" s="409"/>
      <c r="AE152" s="409"/>
      <c r="AF152" s="409"/>
      <c r="AI152" s="109" t="str">
        <f>"2A:field164:" &amp; IF(I152="■",1,IF(L152="■",2,IF(O152="■",3,0)))</f>
        <v>2A:field164:0</v>
      </c>
    </row>
    <row r="153" spans="1:35" s="109" customFormat="1" ht="18.75" customHeight="1" x14ac:dyDescent="0.15">
      <c r="A153" s="193"/>
      <c r="B153" s="194"/>
      <c r="C153" s="99"/>
      <c r="D153" s="100"/>
      <c r="E153" s="101"/>
      <c r="F153" s="102"/>
      <c r="G153" s="101"/>
      <c r="H153" s="366" t="s">
        <v>108</v>
      </c>
      <c r="I153" s="206" t="s">
        <v>184</v>
      </c>
      <c r="J153" s="146" t="s">
        <v>155</v>
      </c>
      <c r="K153" s="146"/>
      <c r="L153" s="185"/>
      <c r="M153" s="185"/>
      <c r="N153" s="185"/>
      <c r="O153" s="185"/>
      <c r="P153" s="208" t="s">
        <v>184</v>
      </c>
      <c r="Q153" s="146" t="s">
        <v>156</v>
      </c>
      <c r="R153" s="185"/>
      <c r="S153" s="185"/>
      <c r="T153" s="185"/>
      <c r="U153" s="185"/>
      <c r="V153" s="185"/>
      <c r="W153" s="185"/>
      <c r="X153" s="186"/>
      <c r="Y153" s="133"/>
      <c r="Z153" s="95"/>
      <c r="AA153" s="95"/>
      <c r="AB153" s="96"/>
      <c r="AC153" s="409"/>
      <c r="AD153" s="409"/>
      <c r="AE153" s="409"/>
      <c r="AF153" s="409"/>
      <c r="AI153" s="109" t="str">
        <f>"2A:" &amp; IF(AND(I153="□",P153="□",I154="□"),"tokusin_jyusho_code:0:tokusin_yakuzai_code:0:shuudan_comu_code:0",IF(I153="■","tokusin_jyusho_code:2","tokusin_jyusho_code:1")
&amp;IF(P153="■",":tokusin_yakuzai_code:2",":tokusin_yakuzai_code:1")
&amp;IF(I154="■",":shuudan_comu_code:2",":shuudan_comu_code:1"))</f>
        <v>2A:tokusin_jyusho_code:0:tokusin_yakuzai_code:0:shuudan_comu_code:0</v>
      </c>
    </row>
    <row r="154" spans="1:35" s="109" customFormat="1" ht="18.75" customHeight="1" x14ac:dyDescent="0.15">
      <c r="A154" s="193"/>
      <c r="B154" s="194"/>
      <c r="C154" s="99"/>
      <c r="D154" s="100"/>
      <c r="E154" s="101"/>
      <c r="F154" s="102"/>
      <c r="G154" s="101"/>
      <c r="H154" s="362"/>
      <c r="I154" s="207" t="s">
        <v>184</v>
      </c>
      <c r="J154" s="105" t="s">
        <v>162</v>
      </c>
      <c r="K154" s="131"/>
      <c r="L154" s="131"/>
      <c r="M154" s="131"/>
      <c r="N154" s="131"/>
      <c r="O154" s="131"/>
      <c r="P154" s="131"/>
      <c r="Q154" s="202"/>
      <c r="R154" s="131"/>
      <c r="S154" s="131"/>
      <c r="T154" s="131"/>
      <c r="U154" s="131"/>
      <c r="V154" s="131"/>
      <c r="W154" s="131"/>
      <c r="X154" s="132"/>
      <c r="Y154" s="133"/>
      <c r="Z154" s="95"/>
      <c r="AA154" s="95"/>
      <c r="AB154" s="96"/>
      <c r="AC154" s="409"/>
      <c r="AD154" s="409"/>
      <c r="AE154" s="409"/>
      <c r="AF154" s="409"/>
    </row>
    <row r="155" spans="1:35" s="109" customFormat="1" ht="18.75" customHeight="1" x14ac:dyDescent="0.15">
      <c r="A155" s="193"/>
      <c r="B155" s="194"/>
      <c r="C155" s="99"/>
      <c r="D155" s="100"/>
      <c r="E155" s="101"/>
      <c r="F155" s="102"/>
      <c r="G155" s="101"/>
      <c r="H155" s="366" t="s">
        <v>91</v>
      </c>
      <c r="I155" s="206" t="s">
        <v>184</v>
      </c>
      <c r="J155" s="146" t="s">
        <v>163</v>
      </c>
      <c r="K155" s="151"/>
      <c r="L155" s="171"/>
      <c r="M155" s="208" t="s">
        <v>184</v>
      </c>
      <c r="N155" s="146" t="s">
        <v>164</v>
      </c>
      <c r="O155" s="185"/>
      <c r="P155" s="185"/>
      <c r="Q155" s="208" t="s">
        <v>184</v>
      </c>
      <c r="R155" s="146" t="s">
        <v>165</v>
      </c>
      <c r="S155" s="185"/>
      <c r="T155" s="185"/>
      <c r="U155" s="185"/>
      <c r="V155" s="185"/>
      <c r="W155" s="185"/>
      <c r="X155" s="186"/>
      <c r="Y155" s="133"/>
      <c r="Z155" s="95"/>
      <c r="AA155" s="95"/>
      <c r="AB155" s="96"/>
      <c r="AC155" s="409"/>
      <c r="AD155" s="409"/>
      <c r="AE155" s="409"/>
      <c r="AF155" s="409"/>
      <c r="AI155" s="109" t="str">
        <f>"2A:"&amp;IF(AND(I155="□",M155="□",Q155="□",I156="□",Q156="□"),"koriha_rryoho1_code:0:koriha_sryoho_code:0:koriha_gengo_code:0:riha_seisin_code:0:koriha_other_code:0",IF(I155="■","koriha_rryoho1_code:2","koriha_rryoho1_code:1")
&amp;IF(M155="■",":koriha_sryoho_code:2",":koriha_sryoho_code:1")
&amp;IF(Q155="■",":koriha_gengo_code:2",":koriha_gengo_code:1")
&amp;IF(I156="■",":riha_seisin_code:2",":riha_seisin_code:1")
&amp;IF(Q156="■",":koriha_other_code:2",":koriha_other_code:1"))</f>
        <v>2A:koriha_rryoho1_code:0:koriha_sryoho_code:0:koriha_gengo_code:0:riha_seisin_code:0:koriha_other_code:0</v>
      </c>
    </row>
    <row r="156" spans="1:35" s="109" customFormat="1" ht="18.75" customHeight="1" x14ac:dyDescent="0.15">
      <c r="A156" s="193"/>
      <c r="B156" s="194"/>
      <c r="C156" s="99"/>
      <c r="D156" s="100"/>
      <c r="E156" s="101"/>
      <c r="F156" s="102"/>
      <c r="G156" s="101"/>
      <c r="H156" s="362"/>
      <c r="I156" s="207" t="s">
        <v>184</v>
      </c>
      <c r="J156" s="105" t="s">
        <v>166</v>
      </c>
      <c r="K156" s="131"/>
      <c r="L156" s="131"/>
      <c r="M156" s="131"/>
      <c r="N156" s="131"/>
      <c r="O156" s="131"/>
      <c r="P156" s="131"/>
      <c r="Q156" s="209" t="s">
        <v>184</v>
      </c>
      <c r="R156" s="105" t="s">
        <v>167</v>
      </c>
      <c r="S156" s="202"/>
      <c r="T156" s="131"/>
      <c r="U156" s="131"/>
      <c r="V156" s="131"/>
      <c r="W156" s="131"/>
      <c r="X156" s="132"/>
      <c r="Y156" s="133"/>
      <c r="Z156" s="95"/>
      <c r="AA156" s="95"/>
      <c r="AB156" s="96"/>
      <c r="AC156" s="409"/>
      <c r="AD156" s="409"/>
      <c r="AE156" s="409"/>
      <c r="AF156" s="409"/>
    </row>
    <row r="157" spans="1:35" s="109" customFormat="1" ht="18.75" customHeight="1" x14ac:dyDescent="0.15">
      <c r="A157" s="193"/>
      <c r="B157" s="194"/>
      <c r="C157" s="99"/>
      <c r="D157" s="100"/>
      <c r="E157" s="101"/>
      <c r="F157" s="102"/>
      <c r="G157" s="101"/>
      <c r="H157" s="184" t="s">
        <v>199</v>
      </c>
      <c r="I157" s="134" t="s">
        <v>184</v>
      </c>
      <c r="J157" s="135" t="s">
        <v>142</v>
      </c>
      <c r="K157" s="135"/>
      <c r="L157" s="138" t="s">
        <v>184</v>
      </c>
      <c r="M157" s="135" t="s">
        <v>143</v>
      </c>
      <c r="N157" s="135"/>
      <c r="O157" s="138" t="s">
        <v>184</v>
      </c>
      <c r="P157" s="135" t="s">
        <v>144</v>
      </c>
      <c r="Q157" s="140"/>
      <c r="R157" s="140"/>
      <c r="S157" s="140"/>
      <c r="T157" s="140"/>
      <c r="U157" s="185"/>
      <c r="V157" s="185"/>
      <c r="W157" s="185"/>
      <c r="X157" s="186"/>
      <c r="Y157" s="133"/>
      <c r="Z157" s="95"/>
      <c r="AA157" s="95"/>
      <c r="AB157" s="96"/>
      <c r="AC157" s="409"/>
      <c r="AD157" s="409"/>
      <c r="AE157" s="409"/>
      <c r="AF157" s="409"/>
      <c r="AI157" s="109" t="str">
        <f>"2A:field225:" &amp; IF(I157="■",1,IF(L157="■",2,IF(O157="■",3,0)))</f>
        <v>2A:field225:0</v>
      </c>
    </row>
    <row r="158" spans="1:35" s="109" customFormat="1" ht="18.75" customHeight="1" x14ac:dyDescent="0.15">
      <c r="A158" s="193"/>
      <c r="B158" s="194"/>
      <c r="C158" s="99"/>
      <c r="D158" s="100"/>
      <c r="E158" s="101"/>
      <c r="F158" s="102"/>
      <c r="G158" s="101"/>
      <c r="H158" s="142" t="s">
        <v>96</v>
      </c>
      <c r="I158" s="134" t="s">
        <v>184</v>
      </c>
      <c r="J158" s="135" t="s">
        <v>142</v>
      </c>
      <c r="K158" s="135"/>
      <c r="L158" s="138" t="s">
        <v>184</v>
      </c>
      <c r="M158" s="135" t="s">
        <v>146</v>
      </c>
      <c r="N158" s="135"/>
      <c r="O158" s="138" t="s">
        <v>184</v>
      </c>
      <c r="P158" s="135" t="s">
        <v>147</v>
      </c>
      <c r="Q158" s="210"/>
      <c r="R158" s="138" t="s">
        <v>184</v>
      </c>
      <c r="S158" s="135" t="s">
        <v>151</v>
      </c>
      <c r="T158" s="210"/>
      <c r="U158" s="210"/>
      <c r="V158" s="210"/>
      <c r="W158" s="210"/>
      <c r="X158" s="167"/>
      <c r="Y158" s="133"/>
      <c r="Z158" s="95"/>
      <c r="AA158" s="95"/>
      <c r="AB158" s="96"/>
      <c r="AC158" s="409"/>
      <c r="AD158" s="409"/>
      <c r="AE158" s="409"/>
      <c r="AF158" s="409"/>
      <c r="AI158" s="109" t="str">
        <f>"2A:serteikyo_kyoka_code:" &amp; IF(I158="■",1,IF(L158="■",6,IF(O158="■",5,IF(R158="■",7,0))))</f>
        <v>2A:serteikyo_kyoka_code:0</v>
      </c>
    </row>
    <row r="159" spans="1:35" s="109" customFormat="1" ht="18.75" customHeight="1" x14ac:dyDescent="0.15">
      <c r="A159" s="193"/>
      <c r="B159" s="194"/>
      <c r="C159" s="99"/>
      <c r="D159" s="100"/>
      <c r="E159" s="101"/>
      <c r="F159" s="102"/>
      <c r="G159" s="101"/>
      <c r="H159" s="367" t="s">
        <v>209</v>
      </c>
      <c r="I159" s="411" t="s">
        <v>184</v>
      </c>
      <c r="J159" s="412" t="s">
        <v>142</v>
      </c>
      <c r="K159" s="412"/>
      <c r="L159" s="413" t="s">
        <v>184</v>
      </c>
      <c r="M159" s="412" t="s">
        <v>150</v>
      </c>
      <c r="N159" s="412"/>
      <c r="O159" s="146"/>
      <c r="P159" s="146"/>
      <c r="Q159" s="146"/>
      <c r="R159" s="146"/>
      <c r="S159" s="146"/>
      <c r="T159" s="146"/>
      <c r="U159" s="146"/>
      <c r="V159" s="146"/>
      <c r="W159" s="146"/>
      <c r="X159" s="149"/>
      <c r="Y159" s="133"/>
      <c r="Z159" s="95"/>
      <c r="AA159" s="95"/>
      <c r="AB159" s="96"/>
      <c r="AC159" s="409"/>
      <c r="AD159" s="409"/>
      <c r="AE159" s="409"/>
      <c r="AF159" s="409"/>
      <c r="AI159" s="109" t="str">
        <f>"2A:field221:" &amp; IF(I159="■",1,IF(L159="■",2,0))</f>
        <v>2A:field221:0</v>
      </c>
    </row>
    <row r="160" spans="1:35" s="109" customFormat="1" ht="18.75" customHeight="1" x14ac:dyDescent="0.15">
      <c r="A160" s="193"/>
      <c r="B160" s="194"/>
      <c r="C160" s="99"/>
      <c r="D160" s="100"/>
      <c r="E160" s="101"/>
      <c r="F160" s="102"/>
      <c r="G160" s="101"/>
      <c r="H160" s="368"/>
      <c r="I160" s="411"/>
      <c r="J160" s="412"/>
      <c r="K160" s="412"/>
      <c r="L160" s="413"/>
      <c r="M160" s="412"/>
      <c r="N160" s="412"/>
      <c r="O160" s="105"/>
      <c r="P160" s="105"/>
      <c r="Q160" s="105"/>
      <c r="R160" s="105"/>
      <c r="S160" s="105"/>
      <c r="T160" s="105"/>
      <c r="U160" s="105"/>
      <c r="V160" s="105"/>
      <c r="W160" s="105"/>
      <c r="X160" s="147"/>
      <c r="Y160" s="133"/>
      <c r="Z160" s="95"/>
      <c r="AA160" s="95"/>
      <c r="AB160" s="96"/>
      <c r="AC160" s="409"/>
      <c r="AD160" s="409"/>
      <c r="AE160" s="409"/>
      <c r="AF160" s="409"/>
    </row>
    <row r="161" spans="1:36" s="109" customFormat="1" ht="18.75" customHeight="1" x14ac:dyDescent="0.15">
      <c r="A161" s="152"/>
      <c r="B161" s="198"/>
      <c r="C161" s="154"/>
      <c r="D161" s="155"/>
      <c r="E161" s="156"/>
      <c r="F161" s="157"/>
      <c r="G161" s="158"/>
      <c r="H161" s="85" t="s">
        <v>208</v>
      </c>
      <c r="I161" s="159" t="s">
        <v>184</v>
      </c>
      <c r="J161" s="86" t="s">
        <v>142</v>
      </c>
      <c r="K161" s="86"/>
      <c r="L161" s="160" t="s">
        <v>184</v>
      </c>
      <c r="M161" s="86" t="s">
        <v>195</v>
      </c>
      <c r="N161" s="87"/>
      <c r="O161" s="160" t="s">
        <v>184</v>
      </c>
      <c r="P161" s="89" t="s">
        <v>196</v>
      </c>
      <c r="Q161" s="88"/>
      <c r="R161" s="160" t="s">
        <v>184</v>
      </c>
      <c r="S161" s="86" t="s">
        <v>197</v>
      </c>
      <c r="T161" s="88"/>
      <c r="U161" s="160" t="s">
        <v>184</v>
      </c>
      <c r="V161" s="86" t="s">
        <v>198</v>
      </c>
      <c r="W161" s="90"/>
      <c r="X161" s="91"/>
      <c r="Y161" s="161"/>
      <c r="Z161" s="161"/>
      <c r="AA161" s="161"/>
      <c r="AB161" s="162"/>
      <c r="AC161" s="410"/>
      <c r="AD161" s="410"/>
      <c r="AE161" s="410"/>
      <c r="AF161" s="410"/>
      <c r="AI161" s="109" t="str">
        <f>"2A:shoguukaizen_code:"&amp;IF(I161="■",1,IF(L161="■",7,IF(O161="■",8,IF(R161="■",9,IF(U161="■","A",0)))))</f>
        <v>2A:shoguukaizen_code:0</v>
      </c>
    </row>
    <row r="162" spans="1:36" s="109" customFormat="1" ht="18.75" customHeight="1" x14ac:dyDescent="0.15">
      <c r="A162" s="191"/>
      <c r="B162" s="192"/>
      <c r="C162" s="121"/>
      <c r="D162" s="122"/>
      <c r="E162" s="116"/>
      <c r="F162" s="123"/>
      <c r="G162" s="116"/>
      <c r="H162" s="352" t="s">
        <v>89</v>
      </c>
      <c r="I162" s="195" t="s">
        <v>184</v>
      </c>
      <c r="J162" s="114" t="s">
        <v>153</v>
      </c>
      <c r="K162" s="199"/>
      <c r="L162" s="178"/>
      <c r="M162" s="197" t="s">
        <v>184</v>
      </c>
      <c r="N162" s="114" t="s">
        <v>157</v>
      </c>
      <c r="O162" s="196"/>
      <c r="P162" s="196"/>
      <c r="Q162" s="197" t="s">
        <v>184</v>
      </c>
      <c r="R162" s="114" t="s">
        <v>158</v>
      </c>
      <c r="S162" s="196"/>
      <c r="T162" s="196"/>
      <c r="U162" s="197" t="s">
        <v>184</v>
      </c>
      <c r="V162" s="114" t="s">
        <v>159</v>
      </c>
      <c r="W162" s="196"/>
      <c r="X162" s="172"/>
      <c r="Y162" s="195" t="s">
        <v>184</v>
      </c>
      <c r="Z162" s="114" t="s">
        <v>141</v>
      </c>
      <c r="AA162" s="114"/>
      <c r="AB162" s="127"/>
      <c r="AC162" s="407"/>
      <c r="AD162" s="407"/>
      <c r="AE162" s="407"/>
      <c r="AF162" s="407"/>
      <c r="AG162" s="109" t="str">
        <f>"ser_code = '" &amp; IF(A174="■","2A","") &amp; "'"</f>
        <v>ser_code = ''</v>
      </c>
      <c r="AI162" s="109" t="str">
        <f>"2A:yakan_kinmu_code:" &amp; IF(I162="■",1,IF(M162="■",2,IF(Q162="■",3,IF(U162="■",7,IF(I163="■",5,IF(M163="■",6,0))))))</f>
        <v>2A:yakan_kinmu_code:0</v>
      </c>
      <c r="AJ162" s="109" t="str">
        <f>"2A:field203:" &amp; IF(Y162="■",1,IF(Y163="■",2,0))</f>
        <v>2A:field203:0</v>
      </c>
    </row>
    <row r="163" spans="1:36" s="109" customFormat="1" ht="18.75" customHeight="1" x14ac:dyDescent="0.15">
      <c r="A163" s="193"/>
      <c r="B163" s="194"/>
      <c r="C163" s="99"/>
      <c r="D163" s="100"/>
      <c r="E163" s="101"/>
      <c r="F163" s="102"/>
      <c r="G163" s="101"/>
      <c r="H163" s="362"/>
      <c r="I163" s="207" t="s">
        <v>184</v>
      </c>
      <c r="J163" s="105" t="s">
        <v>160</v>
      </c>
      <c r="K163" s="150"/>
      <c r="L163" s="106"/>
      <c r="M163" s="209" t="s">
        <v>184</v>
      </c>
      <c r="N163" s="105" t="s">
        <v>154</v>
      </c>
      <c r="O163" s="202"/>
      <c r="P163" s="202"/>
      <c r="Q163" s="202"/>
      <c r="R163" s="202"/>
      <c r="S163" s="202"/>
      <c r="T163" s="202"/>
      <c r="U163" s="202"/>
      <c r="V163" s="202"/>
      <c r="W163" s="202"/>
      <c r="X163" s="211"/>
      <c r="Y163" s="174" t="s">
        <v>184</v>
      </c>
      <c r="Z163" s="94" t="s">
        <v>145</v>
      </c>
      <c r="AA163" s="95"/>
      <c r="AB163" s="96"/>
      <c r="AC163" s="408"/>
      <c r="AD163" s="408"/>
      <c r="AE163" s="408"/>
      <c r="AF163" s="408"/>
      <c r="AG163" s="109" t="str">
        <f>"2A:sisetukbn_code:"&amp;IF(D174="■","5",0)</f>
        <v>2A:sisetukbn_code:0</v>
      </c>
    </row>
    <row r="164" spans="1:36" s="109" customFormat="1" ht="18.75" customHeight="1" x14ac:dyDescent="0.15">
      <c r="A164" s="193"/>
      <c r="B164" s="194"/>
      <c r="C164" s="99"/>
      <c r="D164" s="100"/>
      <c r="E164" s="101"/>
      <c r="F164" s="102"/>
      <c r="G164" s="101"/>
      <c r="H164" s="366" t="s">
        <v>87</v>
      </c>
      <c r="I164" s="206" t="s">
        <v>184</v>
      </c>
      <c r="J164" s="146" t="s">
        <v>142</v>
      </c>
      <c r="K164" s="146"/>
      <c r="L164" s="171"/>
      <c r="M164" s="208" t="s">
        <v>184</v>
      </c>
      <c r="N164" s="146" t="s">
        <v>152</v>
      </c>
      <c r="O164" s="146"/>
      <c r="P164" s="171"/>
      <c r="Q164" s="208" t="s">
        <v>184</v>
      </c>
      <c r="R164" s="205" t="s">
        <v>173</v>
      </c>
      <c r="S164" s="205"/>
      <c r="T164" s="205"/>
      <c r="U164" s="185"/>
      <c r="V164" s="171"/>
      <c r="W164" s="205"/>
      <c r="X164" s="186"/>
      <c r="Y164" s="133"/>
      <c r="Z164" s="95"/>
      <c r="AA164" s="95"/>
      <c r="AB164" s="96"/>
      <c r="AC164" s="409"/>
      <c r="AD164" s="409"/>
      <c r="AE164" s="409"/>
      <c r="AF164" s="409"/>
      <c r="AI164" s="109" t="str">
        <f>"2A:"&amp;IF(AND(I164="□",M164="□",Q164="□",I165="□",M165="□"),"ketu_doctor_code:0",IF(I164="■","ketu_doctor_code:1:field197:1:ketu_kangos_code:1:ketu_kshoku_code:1",IF(M164="■","ketu_doctor_code:2","ketu_doctor_code:1")
&amp;IF(Q164="■",":field197:2",":field197:1")
&amp;IF(I165="■",":ketu_kangos_code:2",":ketu_kangos_code:1")
&amp;IF(M165="■",":ketu_kshoku_code:2",":ketu_kshoku_code:1")))</f>
        <v>2A:ketu_doctor_code:0</v>
      </c>
    </row>
    <row r="165" spans="1:36" s="109" customFormat="1" ht="18.75" customHeight="1" x14ac:dyDescent="0.15">
      <c r="A165" s="193"/>
      <c r="B165" s="194"/>
      <c r="C165" s="99"/>
      <c r="D165" s="100"/>
      <c r="E165" s="101"/>
      <c r="F165" s="102"/>
      <c r="G165" s="101"/>
      <c r="H165" s="362"/>
      <c r="I165" s="207" t="s">
        <v>184</v>
      </c>
      <c r="J165" s="202" t="s">
        <v>174</v>
      </c>
      <c r="K165" s="202"/>
      <c r="L165" s="202"/>
      <c r="M165" s="209" t="s">
        <v>184</v>
      </c>
      <c r="N165" s="202" t="s">
        <v>175</v>
      </c>
      <c r="O165" s="106"/>
      <c r="P165" s="202"/>
      <c r="Q165" s="202"/>
      <c r="R165" s="106"/>
      <c r="S165" s="202"/>
      <c r="T165" s="202"/>
      <c r="U165" s="131"/>
      <c r="V165" s="106"/>
      <c r="W165" s="202"/>
      <c r="X165" s="132"/>
      <c r="Y165" s="133"/>
      <c r="Z165" s="95"/>
      <c r="AA165" s="95"/>
      <c r="AB165" s="96"/>
      <c r="AC165" s="409"/>
      <c r="AD165" s="409"/>
      <c r="AE165" s="409"/>
      <c r="AF165" s="409"/>
    </row>
    <row r="166" spans="1:36" s="109" customFormat="1" ht="18.75" customHeight="1" x14ac:dyDescent="0.15">
      <c r="A166" s="193"/>
      <c r="B166" s="194"/>
      <c r="C166" s="99"/>
      <c r="D166" s="100"/>
      <c r="E166" s="101"/>
      <c r="F166" s="102"/>
      <c r="G166" s="101"/>
      <c r="H166" s="180" t="s">
        <v>90</v>
      </c>
      <c r="I166" s="134" t="s">
        <v>184</v>
      </c>
      <c r="J166" s="135" t="s">
        <v>148</v>
      </c>
      <c r="K166" s="136"/>
      <c r="L166" s="137"/>
      <c r="M166" s="138" t="s">
        <v>184</v>
      </c>
      <c r="N166" s="135" t="s">
        <v>149</v>
      </c>
      <c r="O166" s="140"/>
      <c r="P166" s="140"/>
      <c r="Q166" s="140"/>
      <c r="R166" s="140"/>
      <c r="S166" s="140"/>
      <c r="T166" s="140"/>
      <c r="U166" s="140"/>
      <c r="V166" s="140"/>
      <c r="W166" s="140"/>
      <c r="X166" s="141"/>
      <c r="Y166" s="133"/>
      <c r="Z166" s="95"/>
      <c r="AA166" s="95"/>
      <c r="AB166" s="96"/>
      <c r="AC166" s="409"/>
      <c r="AD166" s="409"/>
      <c r="AE166" s="409"/>
      <c r="AF166" s="409"/>
      <c r="AI166" s="109" t="str">
        <f>"2A:unitcare_code:" &amp; IF(I166="■",1,IF(M166="■",2,0))</f>
        <v>2A:unitcare_code:0</v>
      </c>
    </row>
    <row r="167" spans="1:36" s="109" customFormat="1" ht="18.75" customHeight="1" x14ac:dyDescent="0.15">
      <c r="A167" s="97"/>
      <c r="B167" s="204"/>
      <c r="C167" s="182"/>
      <c r="D167" s="183"/>
      <c r="E167" s="101"/>
      <c r="F167" s="102"/>
      <c r="G167" s="103"/>
      <c r="H167" s="180" t="s">
        <v>92</v>
      </c>
      <c r="I167" s="134" t="s">
        <v>184</v>
      </c>
      <c r="J167" s="135" t="s">
        <v>185</v>
      </c>
      <c r="K167" s="136"/>
      <c r="L167" s="137"/>
      <c r="M167" s="138" t="s">
        <v>184</v>
      </c>
      <c r="N167" s="135" t="s">
        <v>186</v>
      </c>
      <c r="O167" s="136"/>
      <c r="P167" s="136"/>
      <c r="Q167" s="136"/>
      <c r="R167" s="136"/>
      <c r="S167" s="136"/>
      <c r="T167" s="136"/>
      <c r="U167" s="136"/>
      <c r="V167" s="136"/>
      <c r="W167" s="136"/>
      <c r="X167" s="144"/>
      <c r="Y167" s="133"/>
      <c r="Z167" s="95"/>
      <c r="AA167" s="95"/>
      <c r="AB167" s="96"/>
      <c r="AC167" s="409"/>
      <c r="AD167" s="409"/>
      <c r="AE167" s="409"/>
      <c r="AF167" s="409"/>
      <c r="AI167" s="109" t="str">
        <f>"2A:sintaikousoku_code:" &amp; IF(I167="■",1,IF(M167="■",2,0))</f>
        <v>2A:sintaikousoku_code:0</v>
      </c>
    </row>
    <row r="168" spans="1:36" s="109" customFormat="1" ht="19.5" customHeight="1" x14ac:dyDescent="0.15">
      <c r="A168" s="97"/>
      <c r="B168" s="204"/>
      <c r="C168" s="99"/>
      <c r="D168" s="100"/>
      <c r="E168" s="101"/>
      <c r="F168" s="102"/>
      <c r="G168" s="103"/>
      <c r="H168" s="104" t="s">
        <v>192</v>
      </c>
      <c r="I168" s="134" t="s">
        <v>184</v>
      </c>
      <c r="J168" s="135" t="s">
        <v>185</v>
      </c>
      <c r="K168" s="136"/>
      <c r="L168" s="137"/>
      <c r="M168" s="138" t="s">
        <v>184</v>
      </c>
      <c r="N168" s="135" t="s">
        <v>193</v>
      </c>
      <c r="O168" s="139"/>
      <c r="P168" s="135"/>
      <c r="Q168" s="140"/>
      <c r="R168" s="140"/>
      <c r="S168" s="140"/>
      <c r="T168" s="140"/>
      <c r="U168" s="140"/>
      <c r="V168" s="140"/>
      <c r="W168" s="140"/>
      <c r="X168" s="141"/>
      <c r="Y168" s="95"/>
      <c r="Z168" s="95"/>
      <c r="AA168" s="95"/>
      <c r="AB168" s="96"/>
      <c r="AC168" s="409"/>
      <c r="AD168" s="409"/>
      <c r="AE168" s="409"/>
      <c r="AF168" s="409"/>
      <c r="AI168" s="109" t="str">
        <f>"2A:field223:" &amp; IF(I168="■",1,IF(M168="■",2,0))</f>
        <v>2A:field223:0</v>
      </c>
    </row>
    <row r="169" spans="1:36" s="109" customFormat="1" ht="19.5" customHeight="1" x14ac:dyDescent="0.15">
      <c r="A169" s="97"/>
      <c r="B169" s="204"/>
      <c r="C169" s="99"/>
      <c r="D169" s="100"/>
      <c r="E169" s="101"/>
      <c r="F169" s="102"/>
      <c r="G169" s="103"/>
      <c r="H169" s="104" t="s">
        <v>201</v>
      </c>
      <c r="I169" s="134" t="s">
        <v>184</v>
      </c>
      <c r="J169" s="135" t="s">
        <v>185</v>
      </c>
      <c r="K169" s="136"/>
      <c r="L169" s="137"/>
      <c r="M169" s="138" t="s">
        <v>184</v>
      </c>
      <c r="N169" s="135" t="s">
        <v>193</v>
      </c>
      <c r="O169" s="139"/>
      <c r="P169" s="135"/>
      <c r="Q169" s="140"/>
      <c r="R169" s="140"/>
      <c r="S169" s="140"/>
      <c r="T169" s="140"/>
      <c r="U169" s="140"/>
      <c r="V169" s="140"/>
      <c r="W169" s="140"/>
      <c r="X169" s="141"/>
      <c r="Y169" s="95"/>
      <c r="Z169" s="95"/>
      <c r="AA169" s="95"/>
      <c r="AB169" s="96"/>
      <c r="AC169" s="409"/>
      <c r="AD169" s="409"/>
      <c r="AE169" s="409"/>
      <c r="AF169" s="409"/>
      <c r="AI169" s="109" t="str">
        <f>"2A:field232:" &amp; IF(I169="■",1,IF(M169="■",2,0))</f>
        <v>2A:field232:0</v>
      </c>
    </row>
    <row r="170" spans="1:36" s="109" customFormat="1" ht="18.75" customHeight="1" x14ac:dyDescent="0.15">
      <c r="A170" s="193"/>
      <c r="B170" s="194"/>
      <c r="C170" s="99"/>
      <c r="D170" s="100"/>
      <c r="E170" s="101"/>
      <c r="F170" s="102"/>
      <c r="G170" s="101"/>
      <c r="H170" s="180" t="s">
        <v>112</v>
      </c>
      <c r="I170" s="134" t="s">
        <v>184</v>
      </c>
      <c r="J170" s="135" t="s">
        <v>153</v>
      </c>
      <c r="K170" s="136"/>
      <c r="L170" s="137"/>
      <c r="M170" s="138" t="s">
        <v>184</v>
      </c>
      <c r="N170" s="135" t="s">
        <v>161</v>
      </c>
      <c r="O170" s="140"/>
      <c r="P170" s="140"/>
      <c r="Q170" s="140"/>
      <c r="R170" s="140"/>
      <c r="S170" s="140"/>
      <c r="T170" s="140"/>
      <c r="U170" s="140"/>
      <c r="V170" s="140"/>
      <c r="W170" s="140"/>
      <c r="X170" s="141"/>
      <c r="Y170" s="133"/>
      <c r="Z170" s="95"/>
      <c r="AA170" s="95"/>
      <c r="AB170" s="96"/>
      <c r="AC170" s="409"/>
      <c r="AD170" s="409"/>
      <c r="AE170" s="409"/>
      <c r="AF170" s="409"/>
      <c r="AI170" s="109" t="str">
        <f>"2A:field190:" &amp; IF(I170="■",1,IF(M170="■",2,0))</f>
        <v>2A:field190:0</v>
      </c>
    </row>
    <row r="171" spans="1:36" s="109" customFormat="1" ht="18.75" customHeight="1" x14ac:dyDescent="0.15">
      <c r="A171" s="193"/>
      <c r="B171" s="194"/>
      <c r="C171" s="99"/>
      <c r="D171" s="100"/>
      <c r="E171" s="101"/>
      <c r="F171" s="102"/>
      <c r="G171" s="101"/>
      <c r="H171" s="180" t="s">
        <v>113</v>
      </c>
      <c r="I171" s="134" t="s">
        <v>184</v>
      </c>
      <c r="J171" s="135" t="s">
        <v>153</v>
      </c>
      <c r="K171" s="136"/>
      <c r="L171" s="137"/>
      <c r="M171" s="138" t="s">
        <v>184</v>
      </c>
      <c r="N171" s="135" t="s">
        <v>161</v>
      </c>
      <c r="O171" s="140"/>
      <c r="P171" s="140"/>
      <c r="Q171" s="140"/>
      <c r="R171" s="140"/>
      <c r="S171" s="140"/>
      <c r="T171" s="140"/>
      <c r="U171" s="140"/>
      <c r="V171" s="140"/>
      <c r="W171" s="140"/>
      <c r="X171" s="141"/>
      <c r="Y171" s="133"/>
      <c r="Z171" s="95"/>
      <c r="AA171" s="95"/>
      <c r="AB171" s="96"/>
      <c r="AC171" s="409"/>
      <c r="AD171" s="409"/>
      <c r="AE171" s="409"/>
      <c r="AF171" s="409"/>
      <c r="AI171" s="109" t="str">
        <f>"2A:field191:" &amp; IF(I171="■",1,IF(M171="■",2,0))</f>
        <v>2A:field191:0</v>
      </c>
    </row>
    <row r="172" spans="1:36" s="109" customFormat="1" ht="18.75" customHeight="1" x14ac:dyDescent="0.15">
      <c r="A172" s="193"/>
      <c r="B172" s="194"/>
      <c r="C172" s="99"/>
      <c r="D172" s="100"/>
      <c r="E172" s="101"/>
      <c r="F172" s="102"/>
      <c r="G172" s="101"/>
      <c r="H172" s="180" t="s">
        <v>93</v>
      </c>
      <c r="I172" s="134" t="s">
        <v>184</v>
      </c>
      <c r="J172" s="135" t="s">
        <v>142</v>
      </c>
      <c r="K172" s="136"/>
      <c r="L172" s="138" t="s">
        <v>184</v>
      </c>
      <c r="M172" s="135" t="s">
        <v>150</v>
      </c>
      <c r="N172" s="140"/>
      <c r="O172" s="140"/>
      <c r="P172" s="140"/>
      <c r="Q172" s="140"/>
      <c r="R172" s="140"/>
      <c r="S172" s="140"/>
      <c r="T172" s="140"/>
      <c r="U172" s="140"/>
      <c r="V172" s="140"/>
      <c r="W172" s="140"/>
      <c r="X172" s="141"/>
      <c r="Y172" s="133"/>
      <c r="Z172" s="95"/>
      <c r="AA172" s="95"/>
      <c r="AB172" s="96"/>
      <c r="AC172" s="409"/>
      <c r="AD172" s="409"/>
      <c r="AE172" s="409"/>
      <c r="AF172" s="409"/>
      <c r="AI172" s="109" t="str">
        <f>"2A:jyakuninti_uke_code:" &amp; IF(I172="■",1,IF(L172="■",2,0))</f>
        <v>2A:jyakuninti_uke_code:0</v>
      </c>
    </row>
    <row r="173" spans="1:36" s="109" customFormat="1" ht="18.75" customHeight="1" x14ac:dyDescent="0.15">
      <c r="A173" s="193"/>
      <c r="B173" s="194"/>
      <c r="C173" s="99"/>
      <c r="D173" s="100"/>
      <c r="E173" s="101"/>
      <c r="F173" s="102"/>
      <c r="G173" s="101"/>
      <c r="H173" s="180" t="s">
        <v>88</v>
      </c>
      <c r="I173" s="134" t="s">
        <v>184</v>
      </c>
      <c r="J173" s="135" t="s">
        <v>148</v>
      </c>
      <c r="K173" s="136"/>
      <c r="L173" s="137"/>
      <c r="M173" s="138" t="s">
        <v>184</v>
      </c>
      <c r="N173" s="135" t="s">
        <v>149</v>
      </c>
      <c r="O173" s="140"/>
      <c r="P173" s="140"/>
      <c r="Q173" s="140"/>
      <c r="R173" s="140"/>
      <c r="S173" s="140"/>
      <c r="T173" s="140"/>
      <c r="U173" s="140"/>
      <c r="V173" s="140"/>
      <c r="W173" s="140"/>
      <c r="X173" s="141"/>
      <c r="Y173" s="133"/>
      <c r="Z173" s="95"/>
      <c r="AA173" s="95"/>
      <c r="AB173" s="96"/>
      <c r="AC173" s="409"/>
      <c r="AD173" s="409"/>
      <c r="AE173" s="409"/>
      <c r="AF173" s="409"/>
      <c r="AI173" s="109" t="str">
        <f>"2A:sougei_code:" &amp; IF(I173="■",1,IF(M173="■",2,0))</f>
        <v>2A:sougei_code:0</v>
      </c>
    </row>
    <row r="174" spans="1:36" s="109" customFormat="1" ht="19.5" customHeight="1" x14ac:dyDescent="0.15">
      <c r="A174" s="173" t="s">
        <v>184</v>
      </c>
      <c r="B174" s="194" t="s">
        <v>129</v>
      </c>
      <c r="C174" s="99" t="s">
        <v>119</v>
      </c>
      <c r="D174" s="174" t="s">
        <v>184</v>
      </c>
      <c r="E174" s="101" t="s">
        <v>182</v>
      </c>
      <c r="F174" s="102"/>
      <c r="G174" s="103"/>
      <c r="H174" s="104" t="s">
        <v>194</v>
      </c>
      <c r="I174" s="134" t="s">
        <v>184</v>
      </c>
      <c r="J174" s="135" t="s">
        <v>142</v>
      </c>
      <c r="K174" s="135"/>
      <c r="L174" s="138" t="s">
        <v>184</v>
      </c>
      <c r="M174" s="135" t="s">
        <v>150</v>
      </c>
      <c r="N174" s="135"/>
      <c r="O174" s="140"/>
      <c r="P174" s="135"/>
      <c r="Q174" s="140"/>
      <c r="R174" s="140"/>
      <c r="S174" s="140"/>
      <c r="T174" s="140"/>
      <c r="U174" s="140"/>
      <c r="V174" s="140"/>
      <c r="W174" s="140"/>
      <c r="X174" s="141"/>
      <c r="Y174" s="95"/>
      <c r="Z174" s="95"/>
      <c r="AA174" s="95"/>
      <c r="AB174" s="96"/>
      <c r="AC174" s="409"/>
      <c r="AD174" s="409"/>
      <c r="AE174" s="409"/>
      <c r="AF174" s="409"/>
      <c r="AI174" s="109" t="str">
        <f>"2A:field224:" &amp; IF(I174="■",1,IF(L174="■",2,0))</f>
        <v>2A:field224:0</v>
      </c>
    </row>
    <row r="175" spans="1:36" s="109" customFormat="1" ht="18.75" customHeight="1" x14ac:dyDescent="0.15">
      <c r="A175" s="193"/>
      <c r="B175" s="194"/>
      <c r="C175" s="99"/>
      <c r="D175" s="100"/>
      <c r="E175" s="101"/>
      <c r="F175" s="102"/>
      <c r="G175" s="101"/>
      <c r="H175" s="180" t="s">
        <v>94</v>
      </c>
      <c r="I175" s="134" t="s">
        <v>184</v>
      </c>
      <c r="J175" s="135" t="s">
        <v>142</v>
      </c>
      <c r="K175" s="136"/>
      <c r="L175" s="138" t="s">
        <v>184</v>
      </c>
      <c r="M175" s="135" t="s">
        <v>150</v>
      </c>
      <c r="N175" s="140"/>
      <c r="O175" s="140"/>
      <c r="P175" s="140"/>
      <c r="Q175" s="140"/>
      <c r="R175" s="140"/>
      <c r="S175" s="140"/>
      <c r="T175" s="140"/>
      <c r="U175" s="140"/>
      <c r="V175" s="140"/>
      <c r="W175" s="140"/>
      <c r="X175" s="141"/>
      <c r="Y175" s="133"/>
      <c r="Z175" s="95"/>
      <c r="AA175" s="95"/>
      <c r="AB175" s="96"/>
      <c r="AC175" s="409"/>
      <c r="AD175" s="409"/>
      <c r="AE175" s="409"/>
      <c r="AF175" s="409"/>
      <c r="AI175" s="109" t="str">
        <f>"2A:ryouyoushoku_code:" &amp; IF(I175="■",1,IF(L175="■",2,0))</f>
        <v>2A:ryouyoushoku_code:0</v>
      </c>
    </row>
    <row r="176" spans="1:36" s="109" customFormat="1" ht="18.75" customHeight="1" x14ac:dyDescent="0.15">
      <c r="A176" s="193"/>
      <c r="B176" s="194"/>
      <c r="C176" s="99"/>
      <c r="D176" s="100"/>
      <c r="E176" s="101"/>
      <c r="F176" s="102"/>
      <c r="G176" s="101"/>
      <c r="H176" s="180" t="s">
        <v>95</v>
      </c>
      <c r="I176" s="134" t="s">
        <v>184</v>
      </c>
      <c r="J176" s="135" t="s">
        <v>142</v>
      </c>
      <c r="K176" s="135"/>
      <c r="L176" s="138" t="s">
        <v>184</v>
      </c>
      <c r="M176" s="135" t="s">
        <v>143</v>
      </c>
      <c r="N176" s="135"/>
      <c r="O176" s="138" t="s">
        <v>184</v>
      </c>
      <c r="P176" s="135" t="s">
        <v>144</v>
      </c>
      <c r="Q176" s="140"/>
      <c r="R176" s="140"/>
      <c r="S176" s="140"/>
      <c r="T176" s="140"/>
      <c r="U176" s="140"/>
      <c r="V176" s="140"/>
      <c r="W176" s="140"/>
      <c r="X176" s="141"/>
      <c r="Y176" s="133"/>
      <c r="Z176" s="95"/>
      <c r="AA176" s="95"/>
      <c r="AB176" s="96"/>
      <c r="AC176" s="409"/>
      <c r="AD176" s="409"/>
      <c r="AE176" s="409"/>
      <c r="AF176" s="409"/>
      <c r="AI176" s="109" t="str">
        <f>"2A:ninti_senmoncare_code:" &amp; IF(I176="■",1,IF(O176="■",3,IF(L176="■",2,0)))</f>
        <v>2A:ninti_senmoncare_code:0</v>
      </c>
    </row>
    <row r="177" spans="1:36" s="109" customFormat="1" ht="18.75" customHeight="1" x14ac:dyDescent="0.15">
      <c r="A177" s="193"/>
      <c r="B177" s="194"/>
      <c r="C177" s="99"/>
      <c r="D177" s="100"/>
      <c r="E177" s="101"/>
      <c r="F177" s="102"/>
      <c r="G177" s="101"/>
      <c r="H177" s="180" t="s">
        <v>107</v>
      </c>
      <c r="I177" s="134" t="s">
        <v>184</v>
      </c>
      <c r="J177" s="135" t="s">
        <v>142</v>
      </c>
      <c r="K177" s="135"/>
      <c r="L177" s="138" t="s">
        <v>184</v>
      </c>
      <c r="M177" s="135" t="s">
        <v>143</v>
      </c>
      <c r="N177" s="135"/>
      <c r="O177" s="138" t="s">
        <v>184</v>
      </c>
      <c r="P177" s="135" t="s">
        <v>144</v>
      </c>
      <c r="Q177" s="140"/>
      <c r="R177" s="140"/>
      <c r="S177" s="140"/>
      <c r="T177" s="140"/>
      <c r="U177" s="140"/>
      <c r="V177" s="140"/>
      <c r="W177" s="140"/>
      <c r="X177" s="141"/>
      <c r="Y177" s="133"/>
      <c r="Z177" s="95"/>
      <c r="AA177" s="95"/>
      <c r="AB177" s="96"/>
      <c r="AC177" s="409"/>
      <c r="AD177" s="409"/>
      <c r="AE177" s="409"/>
      <c r="AF177" s="409"/>
      <c r="AI177" s="109" t="str">
        <f>"2A:field164:" &amp; IF(I177="■",1,IF(L177="■",2,IF(O177="■",3,0)))</f>
        <v>2A:field164:0</v>
      </c>
    </row>
    <row r="178" spans="1:36" s="109" customFormat="1" ht="18.75" customHeight="1" x14ac:dyDescent="0.15">
      <c r="A178" s="193"/>
      <c r="B178" s="194"/>
      <c r="C178" s="99"/>
      <c r="D178" s="100"/>
      <c r="E178" s="101"/>
      <c r="F178" s="102"/>
      <c r="G178" s="101"/>
      <c r="H178" s="366" t="s">
        <v>108</v>
      </c>
      <c r="I178" s="206" t="s">
        <v>184</v>
      </c>
      <c r="J178" s="146" t="s">
        <v>155</v>
      </c>
      <c r="K178" s="146"/>
      <c r="L178" s="185"/>
      <c r="M178" s="185"/>
      <c r="N178" s="185"/>
      <c r="O178" s="185"/>
      <c r="P178" s="208" t="s">
        <v>184</v>
      </c>
      <c r="Q178" s="146" t="s">
        <v>156</v>
      </c>
      <c r="R178" s="185"/>
      <c r="S178" s="185"/>
      <c r="T178" s="185"/>
      <c r="U178" s="185"/>
      <c r="V178" s="185"/>
      <c r="W178" s="185"/>
      <c r="X178" s="186"/>
      <c r="Y178" s="133"/>
      <c r="Z178" s="95"/>
      <c r="AA178" s="95"/>
      <c r="AB178" s="96"/>
      <c r="AC178" s="409"/>
      <c r="AD178" s="409"/>
      <c r="AE178" s="409"/>
      <c r="AF178" s="409"/>
      <c r="AI178" s="109" t="str">
        <f>"2A:" &amp; IF(AND(I178="□",P178="□",I179="□"),"tokusin_jyusho_code:0:tokusin_yakuzai_code:0:shuudan_comu_code:0",IF(I178="■","tokusin_jyusho_code:2","tokusin_jyusho_code:1")
&amp;IF(P178="■",":tokusin_yakuzai_code:2",":tokusin_yakuzai_code:1")
&amp;IF(I179="■",":shuudan_comu_code:2",":shuudan_comu_code:1"))</f>
        <v>2A:tokusin_jyusho_code:0:tokusin_yakuzai_code:0:shuudan_comu_code:0</v>
      </c>
    </row>
    <row r="179" spans="1:36" s="109" customFormat="1" ht="18.75" customHeight="1" x14ac:dyDescent="0.15">
      <c r="A179" s="193"/>
      <c r="B179" s="194"/>
      <c r="C179" s="99"/>
      <c r="D179" s="100"/>
      <c r="E179" s="101"/>
      <c r="F179" s="102"/>
      <c r="G179" s="101"/>
      <c r="H179" s="362"/>
      <c r="I179" s="207" t="s">
        <v>184</v>
      </c>
      <c r="J179" s="105" t="s">
        <v>162</v>
      </c>
      <c r="K179" s="131"/>
      <c r="L179" s="131"/>
      <c r="M179" s="131"/>
      <c r="N179" s="131"/>
      <c r="O179" s="131"/>
      <c r="P179" s="131"/>
      <c r="Q179" s="202"/>
      <c r="R179" s="131"/>
      <c r="S179" s="131"/>
      <c r="T179" s="131"/>
      <c r="U179" s="131"/>
      <c r="V179" s="131"/>
      <c r="W179" s="131"/>
      <c r="X179" s="132"/>
      <c r="Y179" s="133"/>
      <c r="Z179" s="95"/>
      <c r="AA179" s="95"/>
      <c r="AB179" s="96"/>
      <c r="AC179" s="409"/>
      <c r="AD179" s="409"/>
      <c r="AE179" s="409"/>
      <c r="AF179" s="409"/>
    </row>
    <row r="180" spans="1:36" s="109" customFormat="1" ht="18.75" customHeight="1" x14ac:dyDescent="0.15">
      <c r="A180" s="193"/>
      <c r="B180" s="194"/>
      <c r="C180" s="99"/>
      <c r="D180" s="100"/>
      <c r="E180" s="101"/>
      <c r="F180" s="102"/>
      <c r="G180" s="101"/>
      <c r="H180" s="366" t="s">
        <v>91</v>
      </c>
      <c r="I180" s="206" t="s">
        <v>184</v>
      </c>
      <c r="J180" s="146" t="s">
        <v>163</v>
      </c>
      <c r="K180" s="151"/>
      <c r="L180" s="171"/>
      <c r="M180" s="208" t="s">
        <v>184</v>
      </c>
      <c r="N180" s="146" t="s">
        <v>164</v>
      </c>
      <c r="O180" s="185"/>
      <c r="P180" s="185"/>
      <c r="Q180" s="208" t="s">
        <v>184</v>
      </c>
      <c r="R180" s="146" t="s">
        <v>165</v>
      </c>
      <c r="S180" s="185"/>
      <c r="T180" s="185"/>
      <c r="U180" s="185"/>
      <c r="V180" s="185"/>
      <c r="W180" s="185"/>
      <c r="X180" s="186"/>
      <c r="Y180" s="133"/>
      <c r="Z180" s="95"/>
      <c r="AA180" s="95"/>
      <c r="AB180" s="96"/>
      <c r="AC180" s="409"/>
      <c r="AD180" s="409"/>
      <c r="AE180" s="409"/>
      <c r="AF180" s="409"/>
      <c r="AI180" s="109" t="str">
        <f>"2A:"&amp;IF(AND(I180="□",M180="□",Q180="□",I181="□",Q181="□"),"koriha_rryoho1_code:0:koriha_sryoho_code:0:koriha_gengo_code:0:riha_seisin_code:0:koriha_other_code:0",IF(I180="■","koriha_rryoho1_code:2","koriha_rryoho1_code:1")
&amp;IF(M180="■",":koriha_sryoho_code:2",":koriha_sryoho_code:1")
&amp;IF(Q180="■",":koriha_gengo_code:2",":koriha_gengo_code:1")
&amp;IF(I181="■",":riha_seisin_code:2",":riha_seisin_code:1")
&amp;IF(Q181="■",":koriha_other_code:2",":koriha_other_code:1"))</f>
        <v>2A:koriha_rryoho1_code:0:koriha_sryoho_code:0:koriha_gengo_code:0:riha_seisin_code:0:koriha_other_code:0</v>
      </c>
    </row>
    <row r="181" spans="1:36" s="109" customFormat="1" ht="18.75" customHeight="1" x14ac:dyDescent="0.15">
      <c r="A181" s="193"/>
      <c r="B181" s="194"/>
      <c r="C181" s="99"/>
      <c r="D181" s="100"/>
      <c r="E181" s="101"/>
      <c r="F181" s="102"/>
      <c r="G181" s="101"/>
      <c r="H181" s="362"/>
      <c r="I181" s="207" t="s">
        <v>184</v>
      </c>
      <c r="J181" s="105" t="s">
        <v>166</v>
      </c>
      <c r="K181" s="131"/>
      <c r="L181" s="131"/>
      <c r="M181" s="131"/>
      <c r="N181" s="131"/>
      <c r="O181" s="131"/>
      <c r="P181" s="131"/>
      <c r="Q181" s="209" t="s">
        <v>184</v>
      </c>
      <c r="R181" s="105" t="s">
        <v>167</v>
      </c>
      <c r="S181" s="202"/>
      <c r="T181" s="131"/>
      <c r="U181" s="131"/>
      <c r="V181" s="131"/>
      <c r="W181" s="131"/>
      <c r="X181" s="132"/>
      <c r="Y181" s="133"/>
      <c r="Z181" s="95"/>
      <c r="AA181" s="95"/>
      <c r="AB181" s="96"/>
      <c r="AC181" s="409"/>
      <c r="AD181" s="409"/>
      <c r="AE181" s="409"/>
      <c r="AF181" s="409"/>
    </row>
    <row r="182" spans="1:36" s="109" customFormat="1" ht="18.75" customHeight="1" x14ac:dyDescent="0.15">
      <c r="A182" s="193"/>
      <c r="B182" s="194"/>
      <c r="C182" s="99"/>
      <c r="D182" s="100"/>
      <c r="E182" s="101"/>
      <c r="F182" s="102"/>
      <c r="G182" s="101"/>
      <c r="H182" s="184" t="s">
        <v>199</v>
      </c>
      <c r="I182" s="134" t="s">
        <v>184</v>
      </c>
      <c r="J182" s="135" t="s">
        <v>142</v>
      </c>
      <c r="K182" s="135"/>
      <c r="L182" s="138" t="s">
        <v>184</v>
      </c>
      <c r="M182" s="135" t="s">
        <v>143</v>
      </c>
      <c r="N182" s="135"/>
      <c r="O182" s="138" t="s">
        <v>184</v>
      </c>
      <c r="P182" s="135" t="s">
        <v>144</v>
      </c>
      <c r="Q182" s="140"/>
      <c r="R182" s="140"/>
      <c r="S182" s="140"/>
      <c r="T182" s="140"/>
      <c r="U182" s="185"/>
      <c r="V182" s="185"/>
      <c r="W182" s="185"/>
      <c r="X182" s="186"/>
      <c r="Y182" s="133"/>
      <c r="Z182" s="95"/>
      <c r="AA182" s="95"/>
      <c r="AB182" s="96"/>
      <c r="AC182" s="409"/>
      <c r="AD182" s="409"/>
      <c r="AE182" s="409"/>
      <c r="AF182" s="409"/>
      <c r="AI182" s="109" t="str">
        <f>"2A:field225:" &amp; IF(I182="■",1,IF(L182="■",2,IF(O182="■",3,0)))</f>
        <v>2A:field225:0</v>
      </c>
    </row>
    <row r="183" spans="1:36" s="109" customFormat="1" ht="18.75" customHeight="1" x14ac:dyDescent="0.15">
      <c r="A183" s="193"/>
      <c r="B183" s="194"/>
      <c r="C183" s="99"/>
      <c r="D183" s="100"/>
      <c r="E183" s="101"/>
      <c r="F183" s="102"/>
      <c r="G183" s="101"/>
      <c r="H183" s="142" t="s">
        <v>96</v>
      </c>
      <c r="I183" s="134" t="s">
        <v>184</v>
      </c>
      <c r="J183" s="135" t="s">
        <v>142</v>
      </c>
      <c r="K183" s="135"/>
      <c r="L183" s="138" t="s">
        <v>184</v>
      </c>
      <c r="M183" s="135" t="s">
        <v>146</v>
      </c>
      <c r="N183" s="135"/>
      <c r="O183" s="138" t="s">
        <v>184</v>
      </c>
      <c r="P183" s="135" t="s">
        <v>147</v>
      </c>
      <c r="Q183" s="210"/>
      <c r="R183" s="138" t="s">
        <v>184</v>
      </c>
      <c r="S183" s="135" t="s">
        <v>151</v>
      </c>
      <c r="T183" s="210"/>
      <c r="U183" s="210"/>
      <c r="V183" s="210"/>
      <c r="W183" s="210"/>
      <c r="X183" s="167"/>
      <c r="Y183" s="133"/>
      <c r="Z183" s="95"/>
      <c r="AA183" s="95"/>
      <c r="AB183" s="96"/>
      <c r="AC183" s="409"/>
      <c r="AD183" s="409"/>
      <c r="AE183" s="409"/>
      <c r="AF183" s="409"/>
      <c r="AI183" s="109" t="str">
        <f>"2A:serteikyo_kyoka_code:" &amp; IF(I183="■",1,IF(L183="■",6,IF(O183="■",5,IF(R183="■",7,0))))</f>
        <v>2A:serteikyo_kyoka_code:0</v>
      </c>
    </row>
    <row r="184" spans="1:36" s="109" customFormat="1" ht="18.75" customHeight="1" x14ac:dyDescent="0.15">
      <c r="A184" s="193"/>
      <c r="B184" s="194"/>
      <c r="C184" s="99"/>
      <c r="D184" s="100"/>
      <c r="E184" s="101"/>
      <c r="F184" s="102"/>
      <c r="G184" s="101"/>
      <c r="H184" s="367" t="s">
        <v>209</v>
      </c>
      <c r="I184" s="411" t="s">
        <v>184</v>
      </c>
      <c r="J184" s="412" t="s">
        <v>142</v>
      </c>
      <c r="K184" s="412"/>
      <c r="L184" s="413" t="s">
        <v>184</v>
      </c>
      <c r="M184" s="412" t="s">
        <v>150</v>
      </c>
      <c r="N184" s="412"/>
      <c r="O184" s="146"/>
      <c r="P184" s="146"/>
      <c r="Q184" s="146"/>
      <c r="R184" s="146"/>
      <c r="S184" s="146"/>
      <c r="T184" s="146"/>
      <c r="U184" s="146"/>
      <c r="V184" s="146"/>
      <c r="W184" s="146"/>
      <c r="X184" s="149"/>
      <c r="Y184" s="133"/>
      <c r="Z184" s="95"/>
      <c r="AA184" s="95"/>
      <c r="AB184" s="96"/>
      <c r="AC184" s="409"/>
      <c r="AD184" s="409"/>
      <c r="AE184" s="409"/>
      <c r="AF184" s="409"/>
      <c r="AI184" s="109" t="str">
        <f>"2A:field221:" &amp; IF(I184="■",1,IF(L184="■",2,0))</f>
        <v>2A:field221:0</v>
      </c>
    </row>
    <row r="185" spans="1:36" s="109" customFormat="1" ht="18.75" customHeight="1" x14ac:dyDescent="0.15">
      <c r="A185" s="193"/>
      <c r="B185" s="194"/>
      <c r="C185" s="99"/>
      <c r="D185" s="100"/>
      <c r="E185" s="101"/>
      <c r="F185" s="102"/>
      <c r="G185" s="101"/>
      <c r="H185" s="368"/>
      <c r="I185" s="411"/>
      <c r="J185" s="412"/>
      <c r="K185" s="412"/>
      <c r="L185" s="413"/>
      <c r="M185" s="412"/>
      <c r="N185" s="412"/>
      <c r="O185" s="105"/>
      <c r="P185" s="105"/>
      <c r="Q185" s="105"/>
      <c r="R185" s="105"/>
      <c r="S185" s="105"/>
      <c r="T185" s="105"/>
      <c r="U185" s="105"/>
      <c r="V185" s="105"/>
      <c r="W185" s="105"/>
      <c r="X185" s="147"/>
      <c r="Y185" s="133"/>
      <c r="Z185" s="95"/>
      <c r="AA185" s="95"/>
      <c r="AB185" s="96"/>
      <c r="AC185" s="409"/>
      <c r="AD185" s="409"/>
      <c r="AE185" s="409"/>
      <c r="AF185" s="409"/>
    </row>
    <row r="186" spans="1:36" s="109" customFormat="1" ht="18.75" customHeight="1" x14ac:dyDescent="0.15">
      <c r="A186" s="97"/>
      <c r="B186" s="204"/>
      <c r="C186" s="99"/>
      <c r="D186" s="100"/>
      <c r="E186" s="101"/>
      <c r="F186" s="102"/>
      <c r="G186" s="103"/>
      <c r="H186" s="201" t="s">
        <v>208</v>
      </c>
      <c r="I186" s="206" t="s">
        <v>184</v>
      </c>
      <c r="J186" s="146" t="s">
        <v>142</v>
      </c>
      <c r="K186" s="146"/>
      <c r="L186" s="208" t="s">
        <v>184</v>
      </c>
      <c r="M186" s="146" t="s">
        <v>195</v>
      </c>
      <c r="N186" s="187"/>
      <c r="O186" s="208" t="s">
        <v>184</v>
      </c>
      <c r="P186" s="94" t="s">
        <v>196</v>
      </c>
      <c r="Q186" s="188"/>
      <c r="R186" s="208" t="s">
        <v>184</v>
      </c>
      <c r="S186" s="146" t="s">
        <v>197</v>
      </c>
      <c r="T186" s="188"/>
      <c r="U186" s="208" t="s">
        <v>184</v>
      </c>
      <c r="V186" s="146" t="s">
        <v>198</v>
      </c>
      <c r="W186" s="185"/>
      <c r="X186" s="186"/>
      <c r="Y186" s="95"/>
      <c r="Z186" s="95"/>
      <c r="AA186" s="95"/>
      <c r="AB186" s="96"/>
      <c r="AC186" s="409"/>
      <c r="AD186" s="409"/>
      <c r="AE186" s="409"/>
      <c r="AF186" s="409"/>
      <c r="AI186" s="109" t="str">
        <f>"2A:shoguukaizen_code:"&amp;IF(I186="■",1,IF(L186="■",7,IF(O186="■",8,IF(R186="■",9,IF(U186="■","A",0)))))</f>
        <v>2A:shoguukaizen_code:0</v>
      </c>
    </row>
    <row r="187" spans="1:36" s="109" customFormat="1" ht="18.75" customHeight="1" x14ac:dyDescent="0.15">
      <c r="A187" s="191"/>
      <c r="B187" s="192"/>
      <c r="C187" s="121"/>
      <c r="D187" s="122"/>
      <c r="E187" s="116"/>
      <c r="F187" s="123"/>
      <c r="G187" s="116"/>
      <c r="H187" s="352" t="s">
        <v>89</v>
      </c>
      <c r="I187" s="195" t="s">
        <v>184</v>
      </c>
      <c r="J187" s="114" t="s">
        <v>153</v>
      </c>
      <c r="K187" s="199"/>
      <c r="L187" s="178"/>
      <c r="M187" s="197" t="s">
        <v>184</v>
      </c>
      <c r="N187" s="114" t="s">
        <v>157</v>
      </c>
      <c r="O187" s="196"/>
      <c r="P187" s="196"/>
      <c r="Q187" s="197" t="s">
        <v>184</v>
      </c>
      <c r="R187" s="114" t="s">
        <v>158</v>
      </c>
      <c r="S187" s="196"/>
      <c r="T187" s="196"/>
      <c r="U187" s="197" t="s">
        <v>184</v>
      </c>
      <c r="V187" s="114" t="s">
        <v>159</v>
      </c>
      <c r="W187" s="196"/>
      <c r="X187" s="172"/>
      <c r="Y187" s="197" t="s">
        <v>184</v>
      </c>
      <c r="Z187" s="114" t="s">
        <v>141</v>
      </c>
      <c r="AA187" s="114"/>
      <c r="AB187" s="127"/>
      <c r="AC187" s="407"/>
      <c r="AD187" s="407"/>
      <c r="AE187" s="407"/>
      <c r="AF187" s="407"/>
      <c r="AG187" s="109" t="str">
        <f>"ser_code = '" &amp; IF(A197="■","2A","") &amp; "'"</f>
        <v>ser_code = ''</v>
      </c>
      <c r="AH187" s="109" t="str">
        <f>"2A:jininkbn_code:"&amp;IF(F197="■",1,IF(F198="■",2,0))</f>
        <v>2A:jininkbn_code:0</v>
      </c>
      <c r="AI187" s="109" t="str">
        <f>"2A:yakan_kinmu_code:" &amp; IF(I187="■",1,IF(M187="■",2,IF(Q187="■",3,IF(U187="■",7,IF(I188="■",5,IF(M188="■",6,0))))))</f>
        <v>2A:yakan_kinmu_code:0</v>
      </c>
      <c r="AJ187" s="109" t="str">
        <f>"2A:field203:" &amp; IF(Y187="■",1,IF(Y188="■",2,0))</f>
        <v>2A:field203:0</v>
      </c>
    </row>
    <row r="188" spans="1:36" s="109" customFormat="1" ht="18.75" customHeight="1" x14ac:dyDescent="0.15">
      <c r="A188" s="193"/>
      <c r="B188" s="194"/>
      <c r="C188" s="99"/>
      <c r="D188" s="100"/>
      <c r="E188" s="101"/>
      <c r="F188" s="102"/>
      <c r="G188" s="101"/>
      <c r="H188" s="362"/>
      <c r="I188" s="207" t="s">
        <v>184</v>
      </c>
      <c r="J188" s="105" t="s">
        <v>160</v>
      </c>
      <c r="K188" s="150"/>
      <c r="L188" s="106"/>
      <c r="M188" s="209" t="s">
        <v>184</v>
      </c>
      <c r="N188" s="105" t="s">
        <v>154</v>
      </c>
      <c r="O188" s="202"/>
      <c r="P188" s="202"/>
      <c r="Q188" s="202"/>
      <c r="R188" s="202"/>
      <c r="S188" s="202"/>
      <c r="T188" s="202"/>
      <c r="U188" s="202"/>
      <c r="V188" s="202"/>
      <c r="W188" s="202"/>
      <c r="X188" s="211"/>
      <c r="Y188" s="174" t="s">
        <v>184</v>
      </c>
      <c r="Z188" s="94" t="s">
        <v>145</v>
      </c>
      <c r="AA188" s="95"/>
      <c r="AB188" s="96"/>
      <c r="AC188" s="408"/>
      <c r="AD188" s="408"/>
      <c r="AE188" s="408"/>
      <c r="AF188" s="408"/>
      <c r="AG188" s="109" t="str">
        <f>"2A:sisetukbn_code:"&amp;IF(D197="■","6",0)</f>
        <v>2A:sisetukbn_code:0</v>
      </c>
    </row>
    <row r="189" spans="1:36" s="109" customFormat="1" ht="18.75" customHeight="1" x14ac:dyDescent="0.15">
      <c r="A189" s="193"/>
      <c r="B189" s="194"/>
      <c r="C189" s="99"/>
      <c r="D189" s="100"/>
      <c r="E189" s="101"/>
      <c r="F189" s="102"/>
      <c r="G189" s="101"/>
      <c r="H189" s="366" t="s">
        <v>87</v>
      </c>
      <c r="I189" s="206" t="s">
        <v>184</v>
      </c>
      <c r="J189" s="146" t="s">
        <v>142</v>
      </c>
      <c r="K189" s="146"/>
      <c r="L189" s="171"/>
      <c r="M189" s="208" t="s">
        <v>184</v>
      </c>
      <c r="N189" s="146" t="s">
        <v>152</v>
      </c>
      <c r="O189" s="146"/>
      <c r="P189" s="171"/>
      <c r="Q189" s="208" t="s">
        <v>184</v>
      </c>
      <c r="R189" s="205" t="s">
        <v>173</v>
      </c>
      <c r="S189" s="205"/>
      <c r="T189" s="205"/>
      <c r="U189" s="185"/>
      <c r="V189" s="171"/>
      <c r="W189" s="205"/>
      <c r="X189" s="186"/>
      <c r="Y189" s="133"/>
      <c r="Z189" s="95"/>
      <c r="AA189" s="95"/>
      <c r="AB189" s="96"/>
      <c r="AC189" s="409"/>
      <c r="AD189" s="409"/>
      <c r="AE189" s="409"/>
      <c r="AF189" s="409"/>
      <c r="AI189" s="109" t="str">
        <f>"2A:"&amp;IF(AND(I189="□",M189="□",Q189="□",I190="□",M190="□"),"ketu_doctor_code:0",IF(I189="■","ketu_doctor_code:1:field197:1:ketu_kangos_code:1:ketu_kshoku_code:1",IF(M189="■","ketu_doctor_code:2","ketu_doctor_code:1")
&amp;IF(Q189="■",":field197:2",":field197:1")
&amp;IF(I190="■",":ketu_kangos_code:2",":ketu_kangos_code:1")
&amp;IF(M190="■",":ketu_kshoku_code:2",":ketu_kshoku_code:1")))</f>
        <v>2A:ketu_doctor_code:0</v>
      </c>
    </row>
    <row r="190" spans="1:36" s="109" customFormat="1" ht="18.75" customHeight="1" x14ac:dyDescent="0.15">
      <c r="A190" s="193"/>
      <c r="B190" s="194"/>
      <c r="C190" s="99"/>
      <c r="D190" s="100"/>
      <c r="E190" s="101"/>
      <c r="F190" s="102"/>
      <c r="G190" s="101"/>
      <c r="H190" s="362"/>
      <c r="I190" s="207" t="s">
        <v>184</v>
      </c>
      <c r="J190" s="202" t="s">
        <v>174</v>
      </c>
      <c r="K190" s="202"/>
      <c r="L190" s="202"/>
      <c r="M190" s="209" t="s">
        <v>184</v>
      </c>
      <c r="N190" s="202" t="s">
        <v>175</v>
      </c>
      <c r="O190" s="106"/>
      <c r="P190" s="202"/>
      <c r="Q190" s="202"/>
      <c r="R190" s="106"/>
      <c r="S190" s="202"/>
      <c r="T190" s="202"/>
      <c r="U190" s="131"/>
      <c r="V190" s="106"/>
      <c r="W190" s="202"/>
      <c r="X190" s="132"/>
      <c r="Y190" s="133"/>
      <c r="Z190" s="95"/>
      <c r="AA190" s="95"/>
      <c r="AB190" s="96"/>
      <c r="AC190" s="409"/>
      <c r="AD190" s="409"/>
      <c r="AE190" s="409"/>
      <c r="AF190" s="409"/>
    </row>
    <row r="191" spans="1:36" s="109" customFormat="1" ht="18.75" customHeight="1" x14ac:dyDescent="0.15">
      <c r="A191" s="193"/>
      <c r="B191" s="194"/>
      <c r="C191" s="99"/>
      <c r="D191" s="100"/>
      <c r="E191" s="101"/>
      <c r="F191" s="102"/>
      <c r="G191" s="101"/>
      <c r="H191" s="180" t="s">
        <v>90</v>
      </c>
      <c r="I191" s="134" t="s">
        <v>184</v>
      </c>
      <c r="J191" s="135" t="s">
        <v>148</v>
      </c>
      <c r="K191" s="136"/>
      <c r="L191" s="137"/>
      <c r="M191" s="138" t="s">
        <v>184</v>
      </c>
      <c r="N191" s="135" t="s">
        <v>149</v>
      </c>
      <c r="O191" s="140"/>
      <c r="P191" s="140"/>
      <c r="Q191" s="140"/>
      <c r="R191" s="140"/>
      <c r="S191" s="140"/>
      <c r="T191" s="140"/>
      <c r="U191" s="140"/>
      <c r="V191" s="140"/>
      <c r="W191" s="140"/>
      <c r="X191" s="141"/>
      <c r="Y191" s="133"/>
      <c r="Z191" s="95"/>
      <c r="AA191" s="95"/>
      <c r="AB191" s="96"/>
      <c r="AC191" s="409"/>
      <c r="AD191" s="409"/>
      <c r="AE191" s="409"/>
      <c r="AF191" s="409"/>
      <c r="AI191" s="109" t="str">
        <f>"2A:unitcare_code:" &amp; IF(I191="■",1,IF(M191="■",2,0))</f>
        <v>2A:unitcare_code:0</v>
      </c>
    </row>
    <row r="192" spans="1:36" s="109" customFormat="1" ht="18.75" customHeight="1" x14ac:dyDescent="0.15">
      <c r="A192" s="97"/>
      <c r="B192" s="204"/>
      <c r="C192" s="182"/>
      <c r="D192" s="183"/>
      <c r="E192" s="101"/>
      <c r="F192" s="102"/>
      <c r="G192" s="103"/>
      <c r="H192" s="180" t="s">
        <v>92</v>
      </c>
      <c r="I192" s="134" t="s">
        <v>184</v>
      </c>
      <c r="J192" s="135" t="s">
        <v>185</v>
      </c>
      <c r="K192" s="136"/>
      <c r="L192" s="137"/>
      <c r="M192" s="138" t="s">
        <v>184</v>
      </c>
      <c r="N192" s="135" t="s">
        <v>186</v>
      </c>
      <c r="O192" s="136"/>
      <c r="P192" s="136"/>
      <c r="Q192" s="136"/>
      <c r="R192" s="136"/>
      <c r="S192" s="136"/>
      <c r="T192" s="136"/>
      <c r="U192" s="136"/>
      <c r="V192" s="136"/>
      <c r="W192" s="136"/>
      <c r="X192" s="144"/>
      <c r="Y192" s="133"/>
      <c r="Z192" s="95"/>
      <c r="AA192" s="95"/>
      <c r="AB192" s="96"/>
      <c r="AC192" s="409"/>
      <c r="AD192" s="409"/>
      <c r="AE192" s="409"/>
      <c r="AF192" s="409"/>
      <c r="AI192" s="109" t="str">
        <f>"2A:sintaikousoku_code:" &amp; IF(I192="■",1,IF(M192="■",2,0))</f>
        <v>2A:sintaikousoku_code:0</v>
      </c>
    </row>
    <row r="193" spans="1:35" s="109" customFormat="1" ht="19.5" customHeight="1" x14ac:dyDescent="0.15">
      <c r="A193" s="97"/>
      <c r="B193" s="204"/>
      <c r="C193" s="99"/>
      <c r="D193" s="100"/>
      <c r="E193" s="101"/>
      <c r="F193" s="102"/>
      <c r="G193" s="103"/>
      <c r="H193" s="104" t="s">
        <v>192</v>
      </c>
      <c r="I193" s="134" t="s">
        <v>184</v>
      </c>
      <c r="J193" s="135" t="s">
        <v>185</v>
      </c>
      <c r="K193" s="136"/>
      <c r="L193" s="137"/>
      <c r="M193" s="138" t="s">
        <v>184</v>
      </c>
      <c r="N193" s="135" t="s">
        <v>193</v>
      </c>
      <c r="O193" s="139"/>
      <c r="P193" s="135"/>
      <c r="Q193" s="140"/>
      <c r="R193" s="140"/>
      <c r="S193" s="140"/>
      <c r="T193" s="140"/>
      <c r="U193" s="140"/>
      <c r="V193" s="140"/>
      <c r="W193" s="140"/>
      <c r="X193" s="141"/>
      <c r="Y193" s="95"/>
      <c r="Z193" s="95"/>
      <c r="AA193" s="95"/>
      <c r="AB193" s="96"/>
      <c r="AC193" s="409"/>
      <c r="AD193" s="409"/>
      <c r="AE193" s="409"/>
      <c r="AF193" s="409"/>
      <c r="AI193" s="109" t="str">
        <f>"2A:field223:" &amp; IF(I193="■",1,IF(M193="■",2,0))</f>
        <v>2A:field223:0</v>
      </c>
    </row>
    <row r="194" spans="1:35" s="109" customFormat="1" ht="19.5" customHeight="1" x14ac:dyDescent="0.15">
      <c r="A194" s="97"/>
      <c r="B194" s="204"/>
      <c r="C194" s="99"/>
      <c r="D194" s="100"/>
      <c r="E194" s="101"/>
      <c r="F194" s="102"/>
      <c r="G194" s="103"/>
      <c r="H194" s="104" t="s">
        <v>201</v>
      </c>
      <c r="I194" s="134" t="s">
        <v>184</v>
      </c>
      <c r="J194" s="135" t="s">
        <v>185</v>
      </c>
      <c r="K194" s="136"/>
      <c r="L194" s="137"/>
      <c r="M194" s="138" t="s">
        <v>184</v>
      </c>
      <c r="N194" s="135" t="s">
        <v>193</v>
      </c>
      <c r="O194" s="139"/>
      <c r="P194" s="135"/>
      <c r="Q194" s="140"/>
      <c r="R194" s="140"/>
      <c r="S194" s="140"/>
      <c r="T194" s="140"/>
      <c r="U194" s="140"/>
      <c r="V194" s="140"/>
      <c r="W194" s="140"/>
      <c r="X194" s="141"/>
      <c r="Y194" s="95"/>
      <c r="Z194" s="95"/>
      <c r="AA194" s="95"/>
      <c r="AB194" s="96"/>
      <c r="AC194" s="409"/>
      <c r="AD194" s="409"/>
      <c r="AE194" s="409"/>
      <c r="AF194" s="409"/>
      <c r="AI194" s="109" t="str">
        <f>"2A:field232:" &amp; IF(I194="■",1,IF(M194="■",2,0))</f>
        <v>2A:field232:0</v>
      </c>
    </row>
    <row r="195" spans="1:35" s="109" customFormat="1" ht="18.75" customHeight="1" x14ac:dyDescent="0.15">
      <c r="A195" s="193"/>
      <c r="B195" s="194"/>
      <c r="C195" s="99"/>
      <c r="D195" s="100"/>
      <c r="E195" s="101"/>
      <c r="F195" s="102"/>
      <c r="G195" s="101"/>
      <c r="H195" s="180" t="s">
        <v>112</v>
      </c>
      <c r="I195" s="134" t="s">
        <v>184</v>
      </c>
      <c r="J195" s="135" t="s">
        <v>153</v>
      </c>
      <c r="K195" s="136"/>
      <c r="L195" s="137"/>
      <c r="M195" s="138" t="s">
        <v>184</v>
      </c>
      <c r="N195" s="135" t="s">
        <v>161</v>
      </c>
      <c r="O195" s="140"/>
      <c r="P195" s="140"/>
      <c r="Q195" s="140"/>
      <c r="R195" s="140"/>
      <c r="S195" s="140"/>
      <c r="T195" s="140"/>
      <c r="U195" s="140"/>
      <c r="V195" s="140"/>
      <c r="W195" s="140"/>
      <c r="X195" s="141"/>
      <c r="Y195" s="133"/>
      <c r="Z195" s="95"/>
      <c r="AA195" s="95"/>
      <c r="AB195" s="96"/>
      <c r="AC195" s="409"/>
      <c r="AD195" s="409"/>
      <c r="AE195" s="409"/>
      <c r="AF195" s="409"/>
      <c r="AI195" s="109" t="str">
        <f>"2A:field190:" &amp; IF(I195="■",1,IF(M195="■",2,0))</f>
        <v>2A:field190:0</v>
      </c>
    </row>
    <row r="196" spans="1:35" s="109" customFormat="1" ht="18.75" customHeight="1" x14ac:dyDescent="0.15">
      <c r="A196" s="193"/>
      <c r="B196" s="194"/>
      <c r="C196" s="99"/>
      <c r="D196" s="100"/>
      <c r="E196" s="101"/>
      <c r="F196" s="102"/>
      <c r="G196" s="101"/>
      <c r="H196" s="180" t="s">
        <v>113</v>
      </c>
      <c r="I196" s="134" t="s">
        <v>184</v>
      </c>
      <c r="J196" s="135" t="s">
        <v>153</v>
      </c>
      <c r="K196" s="136"/>
      <c r="L196" s="137"/>
      <c r="M196" s="138" t="s">
        <v>184</v>
      </c>
      <c r="N196" s="135" t="s">
        <v>161</v>
      </c>
      <c r="O196" s="140"/>
      <c r="P196" s="140"/>
      <c r="Q196" s="140"/>
      <c r="R196" s="140"/>
      <c r="S196" s="140"/>
      <c r="T196" s="140"/>
      <c r="U196" s="140"/>
      <c r="V196" s="140"/>
      <c r="W196" s="140"/>
      <c r="X196" s="141"/>
      <c r="Y196" s="133"/>
      <c r="Z196" s="95"/>
      <c r="AA196" s="95"/>
      <c r="AB196" s="96"/>
      <c r="AC196" s="409"/>
      <c r="AD196" s="409"/>
      <c r="AE196" s="409"/>
      <c r="AF196" s="409"/>
      <c r="AI196" s="109" t="str">
        <f>"2A:field191:" &amp; IF(I196="■",1,IF(M196="■",2,0))</f>
        <v>2A:field191:0</v>
      </c>
    </row>
    <row r="197" spans="1:35" s="109" customFormat="1" ht="18.75" customHeight="1" x14ac:dyDescent="0.15">
      <c r="A197" s="173" t="s">
        <v>184</v>
      </c>
      <c r="B197" s="194" t="s">
        <v>129</v>
      </c>
      <c r="C197" s="99" t="s">
        <v>119</v>
      </c>
      <c r="D197" s="174" t="s">
        <v>184</v>
      </c>
      <c r="E197" s="101" t="s">
        <v>183</v>
      </c>
      <c r="F197" s="174" t="s">
        <v>184</v>
      </c>
      <c r="G197" s="101" t="s">
        <v>180</v>
      </c>
      <c r="H197" s="180" t="s">
        <v>93</v>
      </c>
      <c r="I197" s="134" t="s">
        <v>184</v>
      </c>
      <c r="J197" s="135" t="s">
        <v>142</v>
      </c>
      <c r="K197" s="136"/>
      <c r="L197" s="138" t="s">
        <v>184</v>
      </c>
      <c r="M197" s="135" t="s">
        <v>150</v>
      </c>
      <c r="N197" s="140"/>
      <c r="O197" s="140"/>
      <c r="P197" s="140"/>
      <c r="Q197" s="140"/>
      <c r="R197" s="140"/>
      <c r="S197" s="140"/>
      <c r="T197" s="140"/>
      <c r="U197" s="140"/>
      <c r="V197" s="140"/>
      <c r="W197" s="140"/>
      <c r="X197" s="141"/>
      <c r="Y197" s="133"/>
      <c r="Z197" s="95"/>
      <c r="AA197" s="95"/>
      <c r="AB197" s="96"/>
      <c r="AC197" s="409"/>
      <c r="AD197" s="409"/>
      <c r="AE197" s="409"/>
      <c r="AF197" s="409"/>
      <c r="AI197" s="109" t="str">
        <f>"2A:jyakuninti_uke_code:" &amp; IF(I197="■",1,IF(L197="■",2,0))</f>
        <v>2A:jyakuninti_uke_code:0</v>
      </c>
    </row>
    <row r="198" spans="1:35" s="109" customFormat="1" ht="18.75" customHeight="1" x14ac:dyDescent="0.15">
      <c r="A198" s="193"/>
      <c r="B198" s="194"/>
      <c r="C198" s="99"/>
      <c r="D198" s="100"/>
      <c r="E198" s="101"/>
      <c r="F198" s="174" t="s">
        <v>184</v>
      </c>
      <c r="G198" s="101" t="s">
        <v>168</v>
      </c>
      <c r="H198" s="180" t="s">
        <v>88</v>
      </c>
      <c r="I198" s="134" t="s">
        <v>184</v>
      </c>
      <c r="J198" s="135" t="s">
        <v>148</v>
      </c>
      <c r="K198" s="136"/>
      <c r="L198" s="137"/>
      <c r="M198" s="138" t="s">
        <v>184</v>
      </c>
      <c r="N198" s="135" t="s">
        <v>149</v>
      </c>
      <c r="O198" s="140"/>
      <c r="P198" s="140"/>
      <c r="Q198" s="140"/>
      <c r="R198" s="140"/>
      <c r="S198" s="140"/>
      <c r="T198" s="140"/>
      <c r="U198" s="140"/>
      <c r="V198" s="140"/>
      <c r="W198" s="140"/>
      <c r="X198" s="141"/>
      <c r="Y198" s="133"/>
      <c r="Z198" s="95"/>
      <c r="AA198" s="95"/>
      <c r="AB198" s="96"/>
      <c r="AC198" s="409"/>
      <c r="AD198" s="409"/>
      <c r="AE198" s="409"/>
      <c r="AF198" s="409"/>
      <c r="AI198" s="109" t="str">
        <f>"2A:sougei_code:" &amp; IF(I198="■",1,IF(M198="■",2,0))</f>
        <v>2A:sougei_code:0</v>
      </c>
    </row>
    <row r="199" spans="1:35" s="109" customFormat="1" ht="19.5" customHeight="1" x14ac:dyDescent="0.15">
      <c r="A199" s="193"/>
      <c r="B199" s="194"/>
      <c r="C199" s="99"/>
      <c r="D199" s="100"/>
      <c r="E199" s="101"/>
      <c r="F199" s="100"/>
      <c r="G199" s="101"/>
      <c r="H199" s="104" t="s">
        <v>194</v>
      </c>
      <c r="I199" s="134" t="s">
        <v>184</v>
      </c>
      <c r="J199" s="135" t="s">
        <v>142</v>
      </c>
      <c r="K199" s="135"/>
      <c r="L199" s="138" t="s">
        <v>184</v>
      </c>
      <c r="M199" s="135" t="s">
        <v>150</v>
      </c>
      <c r="N199" s="135"/>
      <c r="O199" s="140"/>
      <c r="P199" s="135"/>
      <c r="Q199" s="140"/>
      <c r="R199" s="140"/>
      <c r="S199" s="140"/>
      <c r="T199" s="140"/>
      <c r="U199" s="140"/>
      <c r="V199" s="140"/>
      <c r="W199" s="140"/>
      <c r="X199" s="141"/>
      <c r="Y199" s="95"/>
      <c r="Z199" s="95"/>
      <c r="AA199" s="95"/>
      <c r="AB199" s="96"/>
      <c r="AC199" s="409"/>
      <c r="AD199" s="409"/>
      <c r="AE199" s="409"/>
      <c r="AF199" s="409"/>
      <c r="AI199" s="109" t="str">
        <f>"2A:field224:" &amp; IF(I199="■",1,IF(L199="■",2,0))</f>
        <v>2A:field224:0</v>
      </c>
    </row>
    <row r="200" spans="1:35" s="109" customFormat="1" ht="18.75" customHeight="1" x14ac:dyDescent="0.15">
      <c r="A200" s="193"/>
      <c r="B200" s="194"/>
      <c r="C200" s="99"/>
      <c r="D200" s="100"/>
      <c r="E200" s="101"/>
      <c r="F200" s="100"/>
      <c r="G200" s="101"/>
      <c r="H200" s="180" t="s">
        <v>94</v>
      </c>
      <c r="I200" s="134" t="s">
        <v>184</v>
      </c>
      <c r="J200" s="135" t="s">
        <v>142</v>
      </c>
      <c r="K200" s="136"/>
      <c r="L200" s="138" t="s">
        <v>184</v>
      </c>
      <c r="M200" s="135" t="s">
        <v>150</v>
      </c>
      <c r="N200" s="140"/>
      <c r="O200" s="140"/>
      <c r="P200" s="140"/>
      <c r="Q200" s="140"/>
      <c r="R200" s="140"/>
      <c r="S200" s="140"/>
      <c r="T200" s="140"/>
      <c r="U200" s="140"/>
      <c r="V200" s="140"/>
      <c r="W200" s="140"/>
      <c r="X200" s="141"/>
      <c r="Y200" s="133"/>
      <c r="Z200" s="95"/>
      <c r="AA200" s="95"/>
      <c r="AB200" s="96"/>
      <c r="AC200" s="409"/>
      <c r="AD200" s="409"/>
      <c r="AE200" s="409"/>
      <c r="AF200" s="409"/>
      <c r="AI200" s="109" t="str">
        <f>"2A:ryouyoushoku_code:" &amp; IF(I200="■",1,IF(L200="■",2,0))</f>
        <v>2A:ryouyoushoku_code:0</v>
      </c>
    </row>
    <row r="201" spans="1:35" s="109" customFormat="1" ht="18.75" customHeight="1" x14ac:dyDescent="0.15">
      <c r="A201" s="193"/>
      <c r="B201" s="194"/>
      <c r="C201" s="99"/>
      <c r="D201" s="100"/>
      <c r="E201" s="101"/>
      <c r="F201" s="100"/>
      <c r="G201" s="101"/>
      <c r="H201" s="180" t="s">
        <v>95</v>
      </c>
      <c r="I201" s="134" t="s">
        <v>184</v>
      </c>
      <c r="J201" s="135" t="s">
        <v>142</v>
      </c>
      <c r="K201" s="135"/>
      <c r="L201" s="138" t="s">
        <v>184</v>
      </c>
      <c r="M201" s="135" t="s">
        <v>143</v>
      </c>
      <c r="N201" s="135"/>
      <c r="O201" s="138" t="s">
        <v>184</v>
      </c>
      <c r="P201" s="135" t="s">
        <v>144</v>
      </c>
      <c r="Q201" s="140"/>
      <c r="R201" s="140"/>
      <c r="S201" s="140"/>
      <c r="T201" s="140"/>
      <c r="U201" s="140"/>
      <c r="V201" s="140"/>
      <c r="W201" s="140"/>
      <c r="X201" s="141"/>
      <c r="Y201" s="133"/>
      <c r="Z201" s="95"/>
      <c r="AA201" s="95"/>
      <c r="AB201" s="96"/>
      <c r="AC201" s="409"/>
      <c r="AD201" s="409"/>
      <c r="AE201" s="409"/>
      <c r="AF201" s="409"/>
      <c r="AI201" s="109" t="str">
        <f>"2A:ninti_senmoncare_code:" &amp; IF(I201="■",1,IF(O201="■",3,IF(L201="■",2,0)))</f>
        <v>2A:ninti_senmoncare_code:0</v>
      </c>
    </row>
    <row r="202" spans="1:35" s="109" customFormat="1" ht="18.75" customHeight="1" x14ac:dyDescent="0.15">
      <c r="A202" s="193"/>
      <c r="B202" s="194"/>
      <c r="C202" s="99"/>
      <c r="D202" s="100"/>
      <c r="E202" s="101"/>
      <c r="F202" s="102"/>
      <c r="G202" s="101"/>
      <c r="H202" s="180" t="s">
        <v>130</v>
      </c>
      <c r="I202" s="134" t="s">
        <v>184</v>
      </c>
      <c r="J202" s="135" t="s">
        <v>142</v>
      </c>
      <c r="K202" s="135"/>
      <c r="L202" s="138" t="s">
        <v>184</v>
      </c>
      <c r="M202" s="135" t="s">
        <v>143</v>
      </c>
      <c r="N202" s="135"/>
      <c r="O202" s="138" t="s">
        <v>184</v>
      </c>
      <c r="P202" s="135" t="s">
        <v>144</v>
      </c>
      <c r="Q202" s="140"/>
      <c r="R202" s="140"/>
      <c r="S202" s="140"/>
      <c r="T202" s="140"/>
      <c r="U202" s="140"/>
      <c r="V202" s="140"/>
      <c r="W202" s="140"/>
      <c r="X202" s="141"/>
      <c r="Y202" s="133"/>
      <c r="Z202" s="95"/>
      <c r="AA202" s="95"/>
      <c r="AB202" s="96"/>
      <c r="AC202" s="409"/>
      <c r="AD202" s="409"/>
      <c r="AE202" s="409"/>
      <c r="AF202" s="409"/>
      <c r="AI202" s="109" t="str">
        <f>"2A:field164:" &amp; IF(I202="■",1,IF(L202="■",2,IF(O202="■",3,0)))</f>
        <v>2A:field164:0</v>
      </c>
    </row>
    <row r="203" spans="1:35" s="109" customFormat="1" ht="18.75" customHeight="1" x14ac:dyDescent="0.15">
      <c r="A203" s="193"/>
      <c r="B203" s="194"/>
      <c r="C203" s="99"/>
      <c r="D203" s="100"/>
      <c r="E203" s="101"/>
      <c r="F203" s="102"/>
      <c r="G203" s="101"/>
      <c r="H203" s="184" t="s">
        <v>199</v>
      </c>
      <c r="I203" s="134" t="s">
        <v>184</v>
      </c>
      <c r="J203" s="135" t="s">
        <v>142</v>
      </c>
      <c r="K203" s="135"/>
      <c r="L203" s="138" t="s">
        <v>184</v>
      </c>
      <c r="M203" s="135" t="s">
        <v>143</v>
      </c>
      <c r="N203" s="135"/>
      <c r="O203" s="138" t="s">
        <v>184</v>
      </c>
      <c r="P203" s="135" t="s">
        <v>144</v>
      </c>
      <c r="Q203" s="140"/>
      <c r="R203" s="140"/>
      <c r="S203" s="140"/>
      <c r="T203" s="140"/>
      <c r="U203" s="185"/>
      <c r="V203" s="185"/>
      <c r="W203" s="185"/>
      <c r="X203" s="186"/>
      <c r="Y203" s="133"/>
      <c r="Z203" s="95"/>
      <c r="AA203" s="95"/>
      <c r="AB203" s="96"/>
      <c r="AC203" s="409"/>
      <c r="AD203" s="409"/>
      <c r="AE203" s="409"/>
      <c r="AF203" s="409"/>
      <c r="AI203" s="109" t="str">
        <f>"2A:field225:" &amp; IF(I203="■",1,IF(L203="■",2,IF(O203="■",3,0)))</f>
        <v>2A:field225:0</v>
      </c>
    </row>
    <row r="204" spans="1:35" s="109" customFormat="1" ht="18.75" customHeight="1" x14ac:dyDescent="0.15">
      <c r="A204" s="193"/>
      <c r="B204" s="194"/>
      <c r="C204" s="99"/>
      <c r="D204" s="100"/>
      <c r="E204" s="101"/>
      <c r="F204" s="102"/>
      <c r="G204" s="101"/>
      <c r="H204" s="142" t="s">
        <v>96</v>
      </c>
      <c r="I204" s="134" t="s">
        <v>184</v>
      </c>
      <c r="J204" s="135" t="s">
        <v>142</v>
      </c>
      <c r="K204" s="135"/>
      <c r="L204" s="138" t="s">
        <v>184</v>
      </c>
      <c r="M204" s="135" t="s">
        <v>146</v>
      </c>
      <c r="N204" s="135"/>
      <c r="O204" s="138" t="s">
        <v>184</v>
      </c>
      <c r="P204" s="135" t="s">
        <v>147</v>
      </c>
      <c r="Q204" s="210"/>
      <c r="R204" s="138" t="s">
        <v>184</v>
      </c>
      <c r="S204" s="135" t="s">
        <v>151</v>
      </c>
      <c r="T204" s="210"/>
      <c r="U204" s="210"/>
      <c r="V204" s="210"/>
      <c r="W204" s="210"/>
      <c r="X204" s="167"/>
      <c r="Y204" s="133"/>
      <c r="Z204" s="95"/>
      <c r="AA204" s="95"/>
      <c r="AB204" s="96"/>
      <c r="AC204" s="409"/>
      <c r="AD204" s="409"/>
      <c r="AE204" s="409"/>
      <c r="AF204" s="409"/>
      <c r="AI204" s="109" t="str">
        <f>"2A:serteikyo_kyoka_code:" &amp; IF(I204="■",1,IF(L204="■",6,IF(O204="■",5,IF(R204="■",7,0))))</f>
        <v>2A:serteikyo_kyoka_code:0</v>
      </c>
    </row>
    <row r="205" spans="1:35" s="109" customFormat="1" ht="18.75" customHeight="1" x14ac:dyDescent="0.15">
      <c r="A205" s="193"/>
      <c r="B205" s="194"/>
      <c r="C205" s="99"/>
      <c r="D205" s="100"/>
      <c r="E205" s="101"/>
      <c r="F205" s="102"/>
      <c r="G205" s="101"/>
      <c r="H205" s="367" t="s">
        <v>209</v>
      </c>
      <c r="I205" s="411" t="s">
        <v>184</v>
      </c>
      <c r="J205" s="412" t="s">
        <v>142</v>
      </c>
      <c r="K205" s="412"/>
      <c r="L205" s="413" t="s">
        <v>184</v>
      </c>
      <c r="M205" s="412" t="s">
        <v>150</v>
      </c>
      <c r="N205" s="412"/>
      <c r="O205" s="146"/>
      <c r="P205" s="146"/>
      <c r="Q205" s="146"/>
      <c r="R205" s="146"/>
      <c r="S205" s="146"/>
      <c r="T205" s="146"/>
      <c r="U205" s="146"/>
      <c r="V205" s="146"/>
      <c r="W205" s="146"/>
      <c r="X205" s="149"/>
      <c r="Y205" s="133"/>
      <c r="Z205" s="95"/>
      <c r="AA205" s="95"/>
      <c r="AB205" s="96"/>
      <c r="AC205" s="409"/>
      <c r="AD205" s="409"/>
      <c r="AE205" s="409"/>
      <c r="AF205" s="409"/>
      <c r="AI205" s="109" t="str">
        <f>"2A:field221:" &amp; IF(I205="■",1,IF(L205="■",2,0))</f>
        <v>2A:field221:0</v>
      </c>
    </row>
    <row r="206" spans="1:35" s="109" customFormat="1" ht="18.75" customHeight="1" x14ac:dyDescent="0.15">
      <c r="A206" s="193"/>
      <c r="B206" s="194"/>
      <c r="C206" s="99"/>
      <c r="D206" s="100"/>
      <c r="E206" s="101"/>
      <c r="F206" s="102"/>
      <c r="G206" s="101"/>
      <c r="H206" s="368"/>
      <c r="I206" s="411"/>
      <c r="J206" s="412"/>
      <c r="K206" s="412"/>
      <c r="L206" s="413"/>
      <c r="M206" s="412"/>
      <c r="N206" s="412"/>
      <c r="O206" s="105"/>
      <c r="P206" s="105"/>
      <c r="Q206" s="105"/>
      <c r="R206" s="105"/>
      <c r="S206" s="105"/>
      <c r="T206" s="105"/>
      <c r="U206" s="105"/>
      <c r="V206" s="105"/>
      <c r="W206" s="105"/>
      <c r="X206" s="147"/>
      <c r="Y206" s="133"/>
      <c r="Z206" s="95"/>
      <c r="AA206" s="95"/>
      <c r="AB206" s="96"/>
      <c r="AC206" s="409"/>
      <c r="AD206" s="409"/>
      <c r="AE206" s="409"/>
      <c r="AF206" s="409"/>
    </row>
    <row r="207" spans="1:35" s="109" customFormat="1" ht="18.75" customHeight="1" x14ac:dyDescent="0.15">
      <c r="A207" s="152"/>
      <c r="B207" s="198"/>
      <c r="C207" s="154"/>
      <c r="D207" s="155"/>
      <c r="E207" s="156"/>
      <c r="F207" s="157"/>
      <c r="G207" s="158"/>
      <c r="H207" s="85" t="s">
        <v>208</v>
      </c>
      <c r="I207" s="159" t="s">
        <v>184</v>
      </c>
      <c r="J207" s="86" t="s">
        <v>142</v>
      </c>
      <c r="K207" s="86"/>
      <c r="L207" s="160" t="s">
        <v>184</v>
      </c>
      <c r="M207" s="86" t="s">
        <v>195</v>
      </c>
      <c r="N207" s="87"/>
      <c r="O207" s="160" t="s">
        <v>184</v>
      </c>
      <c r="P207" s="89" t="s">
        <v>196</v>
      </c>
      <c r="Q207" s="88"/>
      <c r="R207" s="160" t="s">
        <v>184</v>
      </c>
      <c r="S207" s="86" t="s">
        <v>197</v>
      </c>
      <c r="T207" s="88"/>
      <c r="U207" s="160" t="s">
        <v>184</v>
      </c>
      <c r="V207" s="86" t="s">
        <v>198</v>
      </c>
      <c r="W207" s="90"/>
      <c r="X207" s="91"/>
      <c r="Y207" s="161"/>
      <c r="Z207" s="161"/>
      <c r="AA207" s="161"/>
      <c r="AB207" s="162"/>
      <c r="AC207" s="410"/>
      <c r="AD207" s="410"/>
      <c r="AE207" s="410"/>
      <c r="AF207" s="410"/>
      <c r="AI207" s="109" t="str">
        <f>"2A:shoguukaizen_code:"&amp;IF(I207="■",1,IF(L207="■",7,IF(O207="■",8,IF(R207="■",9,IF(U207="■","A",0)))))</f>
        <v>2A:shoguukaizen_code:0</v>
      </c>
    </row>
    <row r="208" spans="1:35" s="109" customFormat="1" ht="20.25" customHeight="1" x14ac:dyDescent="0.15">
      <c r="A208" s="203"/>
      <c r="B208" s="203"/>
      <c r="C208" s="145"/>
      <c r="D208" s="145"/>
      <c r="E208" s="145"/>
      <c r="F208" s="145"/>
      <c r="G208" s="145"/>
      <c r="H208" s="145"/>
      <c r="I208" s="145"/>
      <c r="J208" s="145"/>
      <c r="K208" s="145"/>
      <c r="L208" s="145"/>
      <c r="M208" s="145"/>
      <c r="N208" s="145"/>
      <c r="O208" s="145"/>
      <c r="P208" s="145"/>
      <c r="Q208" s="145"/>
      <c r="R208" s="145"/>
      <c r="S208" s="145"/>
      <c r="T208" s="145"/>
      <c r="U208" s="145"/>
      <c r="V208" s="145"/>
      <c r="W208" s="145"/>
      <c r="X208" s="145"/>
      <c r="Y208" s="145"/>
      <c r="Z208" s="145"/>
      <c r="AA208" s="145"/>
      <c r="AB208" s="145"/>
      <c r="AC208" s="145"/>
      <c r="AD208" s="145"/>
      <c r="AE208" s="145"/>
      <c r="AF208" s="145"/>
    </row>
  </sheetData>
  <mergeCells count="112">
    <mergeCell ref="A3:AF3"/>
    <mergeCell ref="I5:M5"/>
    <mergeCell ref="N5:W5"/>
    <mergeCell ref="X5:Z5"/>
    <mergeCell ref="AA5:AF5"/>
    <mergeCell ref="I6:M6"/>
    <mergeCell ref="N6:W6"/>
    <mergeCell ref="X6:Z6"/>
    <mergeCell ref="A9:C10"/>
    <mergeCell ref="D9:E10"/>
    <mergeCell ref="F9:G10"/>
    <mergeCell ref="H9:H10"/>
    <mergeCell ref="Y9:AB10"/>
    <mergeCell ref="AC9:AF10"/>
    <mergeCell ref="A8:C8"/>
    <mergeCell ref="D8:E8"/>
    <mergeCell ref="F8:G8"/>
    <mergeCell ref="H8:X8"/>
    <mergeCell ref="Y8:AB8"/>
    <mergeCell ref="AC8:AF8"/>
    <mergeCell ref="H47:H48"/>
    <mergeCell ref="AC47:AF70"/>
    <mergeCell ref="H49:H50"/>
    <mergeCell ref="H62:H63"/>
    <mergeCell ref="H64:H65"/>
    <mergeCell ref="H68:H69"/>
    <mergeCell ref="I68:I69"/>
    <mergeCell ref="J68:K69"/>
    <mergeCell ref="H19:H20"/>
    <mergeCell ref="I19:I20"/>
    <mergeCell ref="J19:K20"/>
    <mergeCell ref="L19:L20"/>
    <mergeCell ref="M19:N20"/>
    <mergeCell ref="L68:L69"/>
    <mergeCell ref="M68:N69"/>
    <mergeCell ref="H71:H72"/>
    <mergeCell ref="AC71:AF95"/>
    <mergeCell ref="H73:H74"/>
    <mergeCell ref="H87:H88"/>
    <mergeCell ref="H89:H90"/>
    <mergeCell ref="H93:H94"/>
    <mergeCell ref="I93:I94"/>
    <mergeCell ref="J93:K94"/>
    <mergeCell ref="H116:H117"/>
    <mergeCell ref="AC116:AF136"/>
    <mergeCell ref="H118:H119"/>
    <mergeCell ref="H134:H135"/>
    <mergeCell ref="I134:I135"/>
    <mergeCell ref="J134:K135"/>
    <mergeCell ref="L134:L135"/>
    <mergeCell ref="M134:N135"/>
    <mergeCell ref="L93:L94"/>
    <mergeCell ref="M93:N94"/>
    <mergeCell ref="H96:H97"/>
    <mergeCell ref="AC96:AF115"/>
    <mergeCell ref="H98:H99"/>
    <mergeCell ref="H113:H114"/>
    <mergeCell ref="I113:I114"/>
    <mergeCell ref="J113:K114"/>
    <mergeCell ref="L113:L114"/>
    <mergeCell ref="M113:N114"/>
    <mergeCell ref="H137:H138"/>
    <mergeCell ref="AC137:AF161"/>
    <mergeCell ref="H139:H140"/>
    <mergeCell ref="H153:H154"/>
    <mergeCell ref="H155:H156"/>
    <mergeCell ref="H159:H160"/>
    <mergeCell ref="I159:I160"/>
    <mergeCell ref="J159:K160"/>
    <mergeCell ref="L159:L160"/>
    <mergeCell ref="M159:N160"/>
    <mergeCell ref="H187:H188"/>
    <mergeCell ref="AC187:AF207"/>
    <mergeCell ref="H189:H190"/>
    <mergeCell ref="H205:H206"/>
    <mergeCell ref="I205:I206"/>
    <mergeCell ref="J205:K206"/>
    <mergeCell ref="L205:L206"/>
    <mergeCell ref="M205:N206"/>
    <mergeCell ref="H162:H163"/>
    <mergeCell ref="AC162:AF186"/>
    <mergeCell ref="H164:H165"/>
    <mergeCell ref="H178:H179"/>
    <mergeCell ref="H180:H181"/>
    <mergeCell ref="H184:H185"/>
    <mergeCell ref="I184:I185"/>
    <mergeCell ref="J184:K185"/>
    <mergeCell ref="L184:L185"/>
    <mergeCell ref="M184:N185"/>
    <mergeCell ref="AC11:AF23"/>
    <mergeCell ref="H24:H25"/>
    <mergeCell ref="AC24:AF46"/>
    <mergeCell ref="H28:H30"/>
    <mergeCell ref="I28:I30"/>
    <mergeCell ref="H14:H15"/>
    <mergeCell ref="I14:I15"/>
    <mergeCell ref="J14:L15"/>
    <mergeCell ref="M14:M15"/>
    <mergeCell ref="N14:P15"/>
    <mergeCell ref="H16:H17"/>
    <mergeCell ref="I16:I17"/>
    <mergeCell ref="J16:L17"/>
    <mergeCell ref="M16:M17"/>
    <mergeCell ref="J28:K30"/>
    <mergeCell ref="L28:L30"/>
    <mergeCell ref="M28:N30"/>
    <mergeCell ref="H35:H36"/>
    <mergeCell ref="I35:I36"/>
    <mergeCell ref="J35:K36"/>
    <mergeCell ref="L35:L36"/>
    <mergeCell ref="M35:N36"/>
    <mergeCell ref="N16:P17"/>
  </mergeCells>
  <phoneticPr fontId="1"/>
  <conditionalFormatting sqref="A1:AF4 A7:AF10 A47:AF1048576">
    <cfRule type="expression" dxfId="5" priority="5">
      <formula>CELL("protect",A1)=0</formula>
    </cfRule>
  </conditionalFormatting>
  <conditionalFormatting sqref="A24:AF46">
    <cfRule type="expression" dxfId="4" priority="2">
      <formula>CELL("protect",A24)=0</formula>
    </cfRule>
  </conditionalFormatting>
  <conditionalFormatting sqref="A11:AF23">
    <cfRule type="expression" dxfId="3" priority="1">
      <formula>CELL("protect",A11)=0</formula>
    </cfRule>
  </conditionalFormatting>
  <dataValidations count="1">
    <dataValidation type="list" allowBlank="1" showInputMessage="1" showErrorMessage="1" sqref="Y47:Y48 Y71:Y72 Y96:Y97 Y137:Y138 Y162:Y163 Y187:Y188 M57 P62 M64 Q71 Q73 P87 M89 Q96 Q98 Q137 Q139 P153 M155 Q162 Q164 P178 M180 Q187 Q189 D197 D105 F58:F60 A105 M162:M171 D149 D174 A197 A149 F197:F198 Q64:Q65 Q89:Q90 Q155:Q156 Q180:Q181 M198 M82 M137:M146 M106 M148 M173 A174 A59 Q49 M96:M104 D59 M71:M80 F82:F84 F149:F150 M187:M196 A83 D83 Y116:Y117 Q116 Q118 D126 A126 M127 F126 F105 M116:M125 Q47 U46:U207 L35:L207 O45:O207 R45:R207 I9:I207 U9:U10 Q9:Q10 M9:M12 M47:M55 M24:M27 L28:L30 O33 U34 D31:D39 L32:L33 M31 O37 Q34 Y24:Y25 M34 U24 A35 Q24:Q25 O23 A17 D16:D18 Q18 M14:M18 L19:L23 L13 Y11:Y12" xr:uid="{43C48150-BA68-482E-8D04-9D409F7BB6E9}">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8" manualBreakCount="8">
    <brk id="23" max="31" man="1"/>
    <brk id="46" max="31" man="1"/>
    <brk id="70" max="16383" man="1"/>
    <brk id="95" max="16383" man="1"/>
    <brk id="115" max="16383" man="1"/>
    <brk id="136" max="16383" man="1"/>
    <brk id="161" max="16383" man="1"/>
    <brk id="186" max="16383" man="1"/>
  </rowBreaks>
  <extLst>
    <ext xmlns:x14="http://schemas.microsoft.com/office/spreadsheetml/2009/9/main" uri="{78C0D931-6437-407d-A8EE-F0AAD7539E65}">
      <x14:conditionalFormattings>
        <x14:conditionalFormatting xmlns:xm="http://schemas.microsoft.com/office/excel/2006/main">
          <x14:cfRule type="expression" priority="4" id="{FD6188FF-7F79-4EE0-9819-42CA903A152F}">
            <xm:f>CELL("protect",'\\fk13sv01\FileSV\健康福祉部\福祉指導監査課\☆福祉指導監査課☆\05 指定居宅サービス等関係\17 報酬改定\R7_報酬改定\070331 電子申請届出システムに用いる体制表（確定版）につきまして\[（修正版）体制等状況一覧表20250328_012.xlsx]居宅'!#REF!)=0</xm:f>
            <x14:dxf>
              <fill>
                <patternFill>
                  <bgColor theme="9" tint="0.79998168889431442"/>
                </patternFill>
              </fill>
            </x14:dxf>
          </x14:cfRule>
          <xm:sqref>A5:AF6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F9E41-8A2B-4DEA-B426-2A66060878A2}">
  <sheetPr>
    <pageSetUpPr fitToPage="1"/>
  </sheetPr>
  <dimension ref="A2:AL186"/>
  <sheetViews>
    <sheetView view="pageBreakPreview" zoomScale="70" zoomScaleNormal="75" zoomScaleSheetLayoutView="70" workbookViewId="0"/>
  </sheetViews>
  <sheetFormatPr defaultRowHeight="13.5" x14ac:dyDescent="0.15"/>
  <cols>
    <col min="1" max="2" width="4.25" style="221"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hidden="1" customWidth="1"/>
    <col min="34" max="38" width="0" style="1" hidden="1" customWidth="1"/>
    <col min="39" max="16384" width="9" style="1"/>
  </cols>
  <sheetData>
    <row r="2" spans="1:36" ht="20.25" customHeight="1" x14ac:dyDescent="0.15">
      <c r="A2" s="222" t="s">
        <v>231</v>
      </c>
      <c r="B2" s="222"/>
    </row>
    <row r="3" spans="1:36" ht="20.25" customHeight="1" x14ac:dyDescent="0.15">
      <c r="A3" s="439" t="s">
        <v>232</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4" spans="1:36" ht="20.25" customHeight="1" x14ac:dyDescent="0.15"/>
    <row r="5" spans="1:36" ht="27" customHeight="1" x14ac:dyDescent="0.15">
      <c r="I5" s="440" t="s">
        <v>227</v>
      </c>
      <c r="J5" s="440"/>
      <c r="K5" s="440"/>
      <c r="L5" s="440"/>
      <c r="M5" s="440"/>
      <c r="N5" s="440"/>
      <c r="O5" s="440"/>
      <c r="P5" s="440"/>
      <c r="Q5" s="440"/>
      <c r="R5" s="440"/>
      <c r="S5" s="440"/>
      <c r="T5" s="440"/>
      <c r="U5" s="440"/>
      <c r="V5" s="440"/>
      <c r="W5" s="440"/>
      <c r="X5" s="437" t="s">
        <v>82</v>
      </c>
      <c r="Y5" s="437"/>
      <c r="Z5" s="438"/>
      <c r="AA5" s="441" t="s">
        <v>228</v>
      </c>
      <c r="AB5" s="442"/>
      <c r="AC5" s="442"/>
      <c r="AD5" s="442"/>
      <c r="AE5" s="442"/>
      <c r="AF5" s="443"/>
    </row>
    <row r="6" spans="1:36" ht="27.75" customHeight="1" x14ac:dyDescent="0.15">
      <c r="I6" s="440" t="s">
        <v>20</v>
      </c>
      <c r="J6" s="440"/>
      <c r="K6" s="440"/>
      <c r="L6" s="440"/>
      <c r="M6" s="440"/>
      <c r="N6" s="444" t="s">
        <v>229</v>
      </c>
      <c r="O6" s="444"/>
      <c r="P6" s="444"/>
      <c r="Q6" s="444"/>
      <c r="R6" s="444"/>
      <c r="S6" s="444"/>
      <c r="T6" s="444"/>
      <c r="U6" s="444"/>
      <c r="V6" s="444"/>
      <c r="W6" s="444"/>
      <c r="X6" s="440" t="s">
        <v>230</v>
      </c>
      <c r="Y6" s="440"/>
      <c r="Z6" s="440"/>
      <c r="AA6" s="223"/>
      <c r="AB6" s="224" t="s">
        <v>35</v>
      </c>
      <c r="AC6" s="224"/>
      <c r="AD6" s="224" t="s">
        <v>223</v>
      </c>
      <c r="AE6" s="224"/>
      <c r="AF6" s="225" t="s">
        <v>224</v>
      </c>
    </row>
    <row r="7" spans="1:36" ht="20.25" customHeight="1" x14ac:dyDescent="0.15">
      <c r="AG7" s="226"/>
    </row>
    <row r="8" spans="1:36" ht="17.25" customHeight="1" x14ac:dyDescent="0.15">
      <c r="A8" s="436" t="s">
        <v>233</v>
      </c>
      <c r="B8" s="437"/>
      <c r="C8" s="438"/>
      <c r="D8" s="436" t="s">
        <v>1</v>
      </c>
      <c r="E8" s="438"/>
      <c r="F8" s="436" t="s">
        <v>83</v>
      </c>
      <c r="G8" s="438"/>
      <c r="H8" s="436" t="s">
        <v>234</v>
      </c>
      <c r="I8" s="437"/>
      <c r="J8" s="437"/>
      <c r="K8" s="437"/>
      <c r="L8" s="437"/>
      <c r="M8" s="437"/>
      <c r="N8" s="437"/>
      <c r="O8" s="437"/>
      <c r="P8" s="437"/>
      <c r="Q8" s="437"/>
      <c r="R8" s="437"/>
      <c r="S8" s="437"/>
      <c r="T8" s="437"/>
      <c r="U8" s="437"/>
      <c r="V8" s="437"/>
      <c r="W8" s="437"/>
      <c r="X8" s="438"/>
      <c r="Y8" s="436" t="s">
        <v>132</v>
      </c>
      <c r="Z8" s="437"/>
      <c r="AA8" s="437"/>
      <c r="AB8" s="438"/>
      <c r="AC8" s="436" t="s">
        <v>84</v>
      </c>
      <c r="AD8" s="437"/>
      <c r="AE8" s="437"/>
      <c r="AF8" s="438"/>
      <c r="AG8" s="226"/>
    </row>
    <row r="9" spans="1:36" ht="18.75" customHeight="1" x14ac:dyDescent="0.15">
      <c r="A9" s="429" t="s">
        <v>85</v>
      </c>
      <c r="B9" s="430"/>
      <c r="C9" s="431"/>
      <c r="D9" s="213"/>
      <c r="E9" s="4"/>
      <c r="F9" s="6"/>
      <c r="G9" s="4"/>
      <c r="H9" s="414" t="s">
        <v>86</v>
      </c>
      <c r="I9" s="227" t="s">
        <v>184</v>
      </c>
      <c r="J9" s="22" t="s">
        <v>133</v>
      </c>
      <c r="K9" s="228"/>
      <c r="L9" s="228"/>
      <c r="M9" s="227" t="s">
        <v>184</v>
      </c>
      <c r="N9" s="22" t="s">
        <v>134</v>
      </c>
      <c r="O9" s="228"/>
      <c r="P9" s="228"/>
      <c r="Q9" s="227" t="s">
        <v>184</v>
      </c>
      <c r="R9" s="22" t="s">
        <v>135</v>
      </c>
      <c r="S9" s="228"/>
      <c r="T9" s="228"/>
      <c r="U9" s="227" t="s">
        <v>184</v>
      </c>
      <c r="V9" s="22" t="s">
        <v>136</v>
      </c>
      <c r="W9" s="228"/>
      <c r="X9" s="229"/>
      <c r="Y9" s="385"/>
      <c r="Z9" s="386"/>
      <c r="AA9" s="386"/>
      <c r="AB9" s="387"/>
      <c r="AC9" s="385"/>
      <c r="AD9" s="386"/>
      <c r="AE9" s="386"/>
      <c r="AF9" s="387"/>
      <c r="AG9" s="226" t="str">
        <f>"tiikikbn_code:"&amp; IF(I9="■",1,IF(M9="■",6,IF(Q9="■",7,IF(U9="■",2,IF(I10="■",3,IF(M10="■",4,IF(Q10="■",9,IF(U10="■",5,0))))))))</f>
        <v>tiikikbn_code:0</v>
      </c>
    </row>
    <row r="10" spans="1:36" ht="18.75" customHeight="1" x14ac:dyDescent="0.15">
      <c r="A10" s="432"/>
      <c r="B10" s="433"/>
      <c r="C10" s="434"/>
      <c r="D10" s="215"/>
      <c r="E10" s="230"/>
      <c r="F10" s="231"/>
      <c r="G10" s="230"/>
      <c r="H10" s="435"/>
      <c r="I10" s="232" t="s">
        <v>184</v>
      </c>
      <c r="J10" s="233" t="s">
        <v>137</v>
      </c>
      <c r="K10" s="234"/>
      <c r="L10" s="234"/>
      <c r="M10" s="235" t="s">
        <v>184</v>
      </c>
      <c r="N10" s="233" t="s">
        <v>138</v>
      </c>
      <c r="O10" s="234"/>
      <c r="P10" s="234"/>
      <c r="Q10" s="235" t="s">
        <v>184</v>
      </c>
      <c r="R10" s="233" t="s">
        <v>139</v>
      </c>
      <c r="S10" s="234"/>
      <c r="T10" s="234"/>
      <c r="U10" s="235" t="s">
        <v>184</v>
      </c>
      <c r="V10" s="233" t="s">
        <v>140</v>
      </c>
      <c r="W10" s="234"/>
      <c r="X10" s="236"/>
      <c r="Y10" s="391"/>
      <c r="Z10" s="392"/>
      <c r="AA10" s="392"/>
      <c r="AB10" s="393"/>
      <c r="AC10" s="391"/>
      <c r="AD10" s="392"/>
      <c r="AE10" s="392"/>
      <c r="AF10" s="393"/>
      <c r="AG10" s="226"/>
    </row>
    <row r="11" spans="1:36" ht="19.5" customHeight="1" x14ac:dyDescent="0.15">
      <c r="A11" s="237"/>
      <c r="B11" s="214"/>
      <c r="C11" s="293"/>
      <c r="D11" s="252"/>
      <c r="E11" s="229"/>
      <c r="F11" s="217"/>
      <c r="G11" s="241"/>
      <c r="H11" s="242" t="s">
        <v>192</v>
      </c>
      <c r="I11" s="254" t="s">
        <v>184</v>
      </c>
      <c r="J11" s="255" t="s">
        <v>185</v>
      </c>
      <c r="K11" s="256"/>
      <c r="L11" s="257"/>
      <c r="M11" s="258" t="s">
        <v>184</v>
      </c>
      <c r="N11" s="255" t="s">
        <v>193</v>
      </c>
      <c r="O11" s="255"/>
      <c r="P11" s="255"/>
      <c r="Q11" s="260"/>
      <c r="R11" s="260"/>
      <c r="S11" s="260"/>
      <c r="T11" s="260"/>
      <c r="U11" s="260"/>
      <c r="V11" s="260"/>
      <c r="W11" s="260"/>
      <c r="X11" s="261"/>
      <c r="Y11" s="250" t="s">
        <v>184</v>
      </c>
      <c r="Z11" s="2" t="s">
        <v>141</v>
      </c>
      <c r="AA11" s="2"/>
      <c r="AB11" s="251"/>
      <c r="AC11" s="385"/>
      <c r="AD11" s="386"/>
      <c r="AE11" s="386"/>
      <c r="AF11" s="387"/>
      <c r="AG11" s="226" t="str">
        <f>"ser_code = '" &amp; IF(A15="■",64,"") &amp; "'"</f>
        <v>ser_code = ''</v>
      </c>
      <c r="AH11" s="226"/>
      <c r="AI11" s="226" t="str">
        <f>"64:field223:" &amp; IF(I11="■",1,IF(M11="■",2,0))</f>
        <v>64:field223:0</v>
      </c>
      <c r="AJ11" s="226" t="str">
        <f>"64:field203:" &amp; IF(Y11="■",1,IF(Y12="■",2,0))</f>
        <v>64:field203:0</v>
      </c>
    </row>
    <row r="12" spans="1:36" s="226" customFormat="1" ht="19.5" customHeight="1" x14ac:dyDescent="0.15">
      <c r="A12" s="237"/>
      <c r="B12" s="238"/>
      <c r="C12" s="239"/>
      <c r="D12" s="252"/>
      <c r="E12" s="240"/>
      <c r="F12" s="219"/>
      <c r="G12" s="241"/>
      <c r="H12" s="253" t="s">
        <v>201</v>
      </c>
      <c r="I12" s="254" t="s">
        <v>184</v>
      </c>
      <c r="J12" s="255" t="s">
        <v>185</v>
      </c>
      <c r="K12" s="256"/>
      <c r="L12" s="257"/>
      <c r="M12" s="258" t="s">
        <v>184</v>
      </c>
      <c r="N12" s="255" t="s">
        <v>193</v>
      </c>
      <c r="O12" s="259"/>
      <c r="P12" s="255"/>
      <c r="Q12" s="260"/>
      <c r="R12" s="260"/>
      <c r="S12" s="260"/>
      <c r="T12" s="260"/>
      <c r="U12" s="260"/>
      <c r="V12" s="260"/>
      <c r="W12" s="260"/>
      <c r="X12" s="261"/>
      <c r="Y12" s="250" t="s">
        <v>184</v>
      </c>
      <c r="Z12" s="2" t="s">
        <v>145</v>
      </c>
      <c r="AA12" s="262"/>
      <c r="AB12" s="251"/>
      <c r="AC12" s="388"/>
      <c r="AD12" s="389"/>
      <c r="AE12" s="389"/>
      <c r="AF12" s="390"/>
      <c r="AG12" s="226" t="str">
        <f>"64:sisetukbn_code:" &amp; IF(D14="■",1,IF(D15="■",2,IF(D16="■",3,0)))</f>
        <v>64:sisetukbn_code:0</v>
      </c>
      <c r="AI12" s="226" t="str">
        <f>"64:field232:" &amp; IF(I12="■",1,IF(M12="■",2,0))</f>
        <v>64:field232:0</v>
      </c>
    </row>
    <row r="13" spans="1:36" ht="18.75" customHeight="1" x14ac:dyDescent="0.15">
      <c r="A13" s="237"/>
      <c r="B13" s="238"/>
      <c r="C13" s="294"/>
      <c r="D13" s="219"/>
      <c r="E13" s="240"/>
      <c r="F13" s="219"/>
      <c r="G13" s="241"/>
      <c r="H13" s="263" t="s">
        <v>235</v>
      </c>
      <c r="I13" s="250" t="s">
        <v>184</v>
      </c>
      <c r="J13" s="244" t="s">
        <v>142</v>
      </c>
      <c r="K13" s="245"/>
      <c r="L13" s="250" t="s">
        <v>184</v>
      </c>
      <c r="M13" s="244" t="s">
        <v>150</v>
      </c>
      <c r="N13" s="244"/>
      <c r="O13" s="244"/>
      <c r="P13" s="244"/>
      <c r="Q13" s="248"/>
      <c r="R13" s="248"/>
      <c r="S13" s="248"/>
      <c r="T13" s="248"/>
      <c r="U13" s="248"/>
      <c r="V13" s="248"/>
      <c r="W13" s="248"/>
      <c r="X13" s="249"/>
      <c r="Z13" s="2"/>
      <c r="AA13" s="262"/>
      <c r="AB13" s="251"/>
      <c r="AC13" s="388"/>
      <c r="AD13" s="389"/>
      <c r="AE13" s="389"/>
      <c r="AF13" s="390"/>
      <c r="AG13" s="226"/>
      <c r="AH13" s="226"/>
      <c r="AI13" s="226" t="str">
        <f>"64:tokutiiki_code:" &amp; IF(I13="■",1,IF(L13="■",2,0))</f>
        <v>64:tokutiiki_code:0</v>
      </c>
      <c r="AJ13" s="226"/>
    </row>
    <row r="14" spans="1:36" ht="18.75" customHeight="1" x14ac:dyDescent="0.15">
      <c r="A14" s="237"/>
      <c r="B14" s="238"/>
      <c r="C14" s="294"/>
      <c r="D14" s="250" t="s">
        <v>184</v>
      </c>
      <c r="E14" s="240" t="s">
        <v>242</v>
      </c>
      <c r="F14" s="219"/>
      <c r="G14" s="241"/>
      <c r="H14" s="402" t="s">
        <v>243</v>
      </c>
      <c r="I14" s="405" t="s">
        <v>184</v>
      </c>
      <c r="J14" s="375" t="s">
        <v>237</v>
      </c>
      <c r="K14" s="375"/>
      <c r="L14" s="375"/>
      <c r="M14" s="405" t="s">
        <v>184</v>
      </c>
      <c r="N14" s="375" t="s">
        <v>238</v>
      </c>
      <c r="O14" s="375"/>
      <c r="P14" s="375"/>
      <c r="Q14" s="264"/>
      <c r="R14" s="264"/>
      <c r="S14" s="264"/>
      <c r="T14" s="264"/>
      <c r="U14" s="264"/>
      <c r="V14" s="264"/>
      <c r="W14" s="264"/>
      <c r="X14" s="265"/>
      <c r="AB14" s="251"/>
      <c r="AC14" s="388"/>
      <c r="AD14" s="389"/>
      <c r="AE14" s="389"/>
      <c r="AF14" s="390"/>
      <c r="AG14" s="226"/>
      <c r="AH14" s="226"/>
      <c r="AI14" s="226" t="str">
        <f>"64:chuusankanti_tiiki_code:" &amp; IF(I14="■",1,IF(M14="■",2,0))</f>
        <v>64:chuusankanti_tiiki_code:0</v>
      </c>
      <c r="AJ14" s="226"/>
    </row>
    <row r="15" spans="1:36" ht="18.75" customHeight="1" x14ac:dyDescent="0.15">
      <c r="A15" s="268" t="s">
        <v>184</v>
      </c>
      <c r="B15" s="238">
        <v>64</v>
      </c>
      <c r="C15" s="294" t="s">
        <v>244</v>
      </c>
      <c r="D15" s="250" t="s">
        <v>184</v>
      </c>
      <c r="E15" s="240" t="s">
        <v>245</v>
      </c>
      <c r="F15" s="219"/>
      <c r="G15" s="241"/>
      <c r="H15" s="382"/>
      <c r="I15" s="406"/>
      <c r="J15" s="377"/>
      <c r="K15" s="377"/>
      <c r="L15" s="377"/>
      <c r="M15" s="406"/>
      <c r="N15" s="377"/>
      <c r="O15" s="377"/>
      <c r="P15" s="377"/>
      <c r="Q15" s="248"/>
      <c r="R15" s="248"/>
      <c r="S15" s="248"/>
      <c r="T15" s="248"/>
      <c r="U15" s="248"/>
      <c r="V15" s="248"/>
      <c r="W15" s="248"/>
      <c r="X15" s="249"/>
      <c r="Y15" s="267"/>
      <c r="Z15" s="262"/>
      <c r="AA15" s="262"/>
      <c r="AB15" s="251"/>
      <c r="AC15" s="388"/>
      <c r="AD15" s="389"/>
      <c r="AE15" s="389"/>
      <c r="AF15" s="390"/>
      <c r="AG15" s="226"/>
      <c r="AH15" s="226"/>
      <c r="AI15" s="226"/>
      <c r="AJ15" s="226"/>
    </row>
    <row r="16" spans="1:36" ht="18.75" customHeight="1" x14ac:dyDescent="0.15">
      <c r="A16" s="237"/>
      <c r="B16" s="238"/>
      <c r="C16" s="294" t="s">
        <v>246</v>
      </c>
      <c r="D16" s="250" t="s">
        <v>184</v>
      </c>
      <c r="E16" s="240" t="s">
        <v>247</v>
      </c>
      <c r="F16" s="219"/>
      <c r="G16" s="241"/>
      <c r="H16" s="402" t="s">
        <v>248</v>
      </c>
      <c r="I16" s="405" t="s">
        <v>184</v>
      </c>
      <c r="J16" s="375" t="s">
        <v>237</v>
      </c>
      <c r="K16" s="375"/>
      <c r="L16" s="375"/>
      <c r="M16" s="405" t="s">
        <v>184</v>
      </c>
      <c r="N16" s="375" t="s">
        <v>238</v>
      </c>
      <c r="O16" s="375"/>
      <c r="P16" s="375"/>
      <c r="Q16" s="264"/>
      <c r="R16" s="264"/>
      <c r="S16" s="264"/>
      <c r="T16" s="264"/>
      <c r="U16" s="264"/>
      <c r="V16" s="264"/>
      <c r="W16" s="264"/>
      <c r="X16" s="265"/>
      <c r="Y16" s="267"/>
      <c r="Z16" s="262"/>
      <c r="AA16" s="262"/>
      <c r="AB16" s="251"/>
      <c r="AC16" s="388"/>
      <c r="AD16" s="389"/>
      <c r="AE16" s="389"/>
      <c r="AF16" s="390"/>
      <c r="AI16" s="226" t="str">
        <f>"64:chuusankanti_kibo_code:" &amp; IF(I16="■",1,IF(M16="■",2,0))</f>
        <v>64:chuusankanti_kibo_code:0</v>
      </c>
    </row>
    <row r="17" spans="1:36" ht="18.75" customHeight="1" x14ac:dyDescent="0.15">
      <c r="A17" s="237"/>
      <c r="B17" s="238"/>
      <c r="C17" s="294"/>
      <c r="D17" s="252"/>
      <c r="E17" s="240"/>
      <c r="F17" s="219"/>
      <c r="G17" s="241"/>
      <c r="H17" s="382"/>
      <c r="I17" s="406"/>
      <c r="J17" s="377"/>
      <c r="K17" s="377"/>
      <c r="L17" s="377"/>
      <c r="M17" s="406"/>
      <c r="N17" s="377"/>
      <c r="O17" s="377"/>
      <c r="P17" s="377"/>
      <c r="Q17" s="248"/>
      <c r="R17" s="248"/>
      <c r="S17" s="248"/>
      <c r="T17" s="248"/>
      <c r="U17" s="248"/>
      <c r="V17" s="248"/>
      <c r="W17" s="248"/>
      <c r="X17" s="249"/>
      <c r="Y17" s="267"/>
      <c r="Z17" s="262"/>
      <c r="AA17" s="262"/>
      <c r="AB17" s="251"/>
      <c r="AC17" s="388"/>
      <c r="AD17" s="389"/>
      <c r="AE17" s="389"/>
      <c r="AF17" s="390"/>
    </row>
    <row r="18" spans="1:36" ht="19.5" customHeight="1" x14ac:dyDescent="0.15">
      <c r="A18" s="237"/>
      <c r="B18" s="238"/>
      <c r="C18" s="239"/>
      <c r="D18" s="252"/>
      <c r="E18" s="240"/>
      <c r="F18" s="219"/>
      <c r="G18" s="241"/>
      <c r="H18" s="253" t="s">
        <v>194</v>
      </c>
      <c r="I18" s="254" t="s">
        <v>184</v>
      </c>
      <c r="J18" s="255" t="s">
        <v>142</v>
      </c>
      <c r="K18" s="255"/>
      <c r="L18" s="258" t="s">
        <v>184</v>
      </c>
      <c r="M18" s="255" t="s">
        <v>150</v>
      </c>
      <c r="N18" s="255"/>
      <c r="O18" s="260"/>
      <c r="P18" s="255"/>
      <c r="Q18" s="260"/>
      <c r="R18" s="260"/>
      <c r="S18" s="260"/>
      <c r="T18" s="260"/>
      <c r="U18" s="260"/>
      <c r="V18" s="260"/>
      <c r="W18" s="260"/>
      <c r="X18" s="261"/>
      <c r="Y18" s="262"/>
      <c r="Z18" s="262"/>
      <c r="AA18" s="262"/>
      <c r="AB18" s="251"/>
      <c r="AC18" s="388"/>
      <c r="AD18" s="389"/>
      <c r="AE18" s="389"/>
      <c r="AF18" s="390"/>
      <c r="AI18" s="226" t="str">
        <f>"64:field224:" &amp; IF(I18="■",1,IF(L18="■",2,0))</f>
        <v>64:field224:0</v>
      </c>
    </row>
    <row r="19" spans="1:36" ht="18.75" customHeight="1" x14ac:dyDescent="0.15">
      <c r="A19" s="271"/>
      <c r="B19" s="216"/>
      <c r="C19" s="295"/>
      <c r="D19" s="220"/>
      <c r="E19" s="236"/>
      <c r="F19" s="220"/>
      <c r="G19" s="273"/>
      <c r="H19" s="291" t="s">
        <v>96</v>
      </c>
      <c r="I19" s="275" t="s">
        <v>184</v>
      </c>
      <c r="J19" s="43" t="s">
        <v>142</v>
      </c>
      <c r="K19" s="43"/>
      <c r="L19" s="276" t="s">
        <v>184</v>
      </c>
      <c r="M19" s="43" t="s">
        <v>240</v>
      </c>
      <c r="N19" s="43"/>
      <c r="O19" s="276" t="s">
        <v>184</v>
      </c>
      <c r="P19" s="43" t="s">
        <v>241</v>
      </c>
      <c r="Q19" s="279"/>
      <c r="R19" s="292"/>
      <c r="S19" s="279"/>
      <c r="T19" s="279"/>
      <c r="U19" s="279"/>
      <c r="V19" s="279"/>
      <c r="W19" s="279"/>
      <c r="X19" s="280"/>
      <c r="Y19" s="283"/>
      <c r="Z19" s="281"/>
      <c r="AA19" s="281"/>
      <c r="AB19" s="282"/>
      <c r="AC19" s="391"/>
      <c r="AD19" s="392"/>
      <c r="AE19" s="392"/>
      <c r="AF19" s="393"/>
      <c r="AI19" s="226" t="str">
        <f>"64:serteikyo_kyoka_code:" &amp; IF(I19="■",1,IF(L19="■",3,IF(O19="■",4,0)))</f>
        <v>64:serteikyo_kyoka_code:0</v>
      </c>
    </row>
    <row r="20" spans="1:36" ht="18.75" customHeight="1" x14ac:dyDescent="0.15">
      <c r="A20" s="41"/>
      <c r="B20" s="214"/>
      <c r="C20" s="296"/>
      <c r="D20" s="217"/>
      <c r="E20" s="229"/>
      <c r="F20" s="217"/>
      <c r="G20" s="23"/>
      <c r="H20" s="414" t="s">
        <v>87</v>
      </c>
      <c r="I20" s="297" t="s">
        <v>184</v>
      </c>
      <c r="J20" s="22" t="s">
        <v>142</v>
      </c>
      <c r="K20" s="22"/>
      <c r="L20" s="218"/>
      <c r="M20" s="227" t="s">
        <v>184</v>
      </c>
      <c r="N20" s="22" t="s">
        <v>152</v>
      </c>
      <c r="O20" s="22"/>
      <c r="P20" s="218"/>
      <c r="Q20" s="227" t="s">
        <v>184</v>
      </c>
      <c r="R20" s="7" t="s">
        <v>249</v>
      </c>
      <c r="S20" s="7"/>
      <c r="T20" s="7"/>
      <c r="U20" s="227" t="s">
        <v>184</v>
      </c>
      <c r="V20" s="7" t="s">
        <v>250</v>
      </c>
      <c r="W20" s="7"/>
      <c r="X20" s="4"/>
      <c r="Y20" s="227" t="s">
        <v>184</v>
      </c>
      <c r="Z20" s="22" t="s">
        <v>141</v>
      </c>
      <c r="AA20" s="22"/>
      <c r="AB20" s="302"/>
      <c r="AC20" s="420"/>
      <c r="AD20" s="421"/>
      <c r="AE20" s="421"/>
      <c r="AF20" s="422"/>
      <c r="AG20" s="226" t="str">
        <f>"ser_code = '" &amp; IF(A25="■",66,"") &amp; "'"</f>
        <v>ser_code = ''</v>
      </c>
      <c r="AH20" s="226"/>
      <c r="AI20" s="226" t="str">
        <f>"66:"&amp;IF(AND(I20="□",M20="□",Q20="□",U20="□",I21="□",M21="□",Q21="□"),"ketu_doctor_code:0",IF(I20="■","ketu_doctor_code:1:ketu_kangos_code:1:ketu_kshoku_code:1:ketu_rryoho_code:1:ketu_sryoho_code:1:ketu_gengo_code:1",
IF(M20="■","ketu_doctor_code:2","ketu_doctor_code:1")
&amp;IF(Q20="■",":ketu_kangos_code:2",":ketu_kangos_code:1")
&amp;IF(U20="■",":ketu_kshoku_code:2",":ketu_kshoku_code:1")
&amp;IF(I21="■",":ketu_rryoho_code:2",":ketu_rryoho_code:1")
&amp;IF(M21="■",":ketu_sryoho_code:2",":ketu_sryoho_code:1")
&amp;IF(Q21="■",":ketu_gengo_code:2",":ketu_gengo_code:1")))</f>
        <v>66:ketu_doctor_code:0</v>
      </c>
      <c r="AJ20" s="226" t="str">
        <f>"66:field203:" &amp; IF(Y20="■",1,IF(Y21="■",2,0))</f>
        <v>66:field203:0</v>
      </c>
    </row>
    <row r="21" spans="1:36" ht="18.75" customHeight="1" x14ac:dyDescent="0.15">
      <c r="A21" s="237"/>
      <c r="B21" s="238"/>
      <c r="C21" s="294"/>
      <c r="D21" s="219"/>
      <c r="E21" s="240"/>
      <c r="F21" s="219"/>
      <c r="G21" s="241"/>
      <c r="H21" s="419"/>
      <c r="I21" s="268" t="s">
        <v>184</v>
      </c>
      <c r="J21" s="2" t="s">
        <v>251</v>
      </c>
      <c r="M21" s="250" t="s">
        <v>184</v>
      </c>
      <c r="N21" s="2" t="s">
        <v>252</v>
      </c>
      <c r="Q21" s="250" t="s">
        <v>184</v>
      </c>
      <c r="R21" s="2" t="s">
        <v>253</v>
      </c>
      <c r="X21" s="303"/>
      <c r="Y21" s="250" t="s">
        <v>184</v>
      </c>
      <c r="Z21" s="2" t="s">
        <v>145</v>
      </c>
      <c r="AA21" s="262"/>
      <c r="AB21" s="251"/>
      <c r="AC21" s="423"/>
      <c r="AD21" s="424"/>
      <c r="AE21" s="424"/>
      <c r="AF21" s="425"/>
      <c r="AG21" s="226" t="str">
        <f>"66:sisetukbn_code:" &amp; IF(D24="■",1,IF(D25="■",2,IF(D26="■",3,0)))</f>
        <v>66:sisetukbn_code:0</v>
      </c>
      <c r="AH21" s="226"/>
      <c r="AI21" s="226"/>
      <c r="AJ21" s="226"/>
    </row>
    <row r="22" spans="1:36" ht="19.5" customHeight="1" x14ac:dyDescent="0.15">
      <c r="A22" s="237"/>
      <c r="B22" s="238"/>
      <c r="C22" s="294"/>
      <c r="D22" s="219"/>
      <c r="E22" s="240"/>
      <c r="F22" s="219"/>
      <c r="G22" s="241"/>
      <c r="H22" s="253" t="s">
        <v>192</v>
      </c>
      <c r="I22" s="254" t="s">
        <v>184</v>
      </c>
      <c r="J22" s="255" t="s">
        <v>185</v>
      </c>
      <c r="K22" s="256"/>
      <c r="L22" s="257"/>
      <c r="M22" s="258" t="s">
        <v>184</v>
      </c>
      <c r="N22" s="255" t="s">
        <v>193</v>
      </c>
      <c r="O22" s="255"/>
      <c r="P22" s="255"/>
      <c r="Q22" s="260"/>
      <c r="R22" s="260"/>
      <c r="S22" s="260"/>
      <c r="T22" s="260"/>
      <c r="U22" s="260"/>
      <c r="V22" s="260"/>
      <c r="W22" s="260"/>
      <c r="X22" s="261"/>
      <c r="Y22" s="267"/>
      <c r="Z22" s="262"/>
      <c r="AA22" s="262"/>
      <c r="AB22" s="251"/>
      <c r="AC22" s="423"/>
      <c r="AD22" s="424"/>
      <c r="AE22" s="424"/>
      <c r="AF22" s="425"/>
      <c r="AG22" s="266"/>
      <c r="AI22" s="226" t="str">
        <f>"66:field223:" &amp; IF(I22="■",1,IF(M22="■",2,0))</f>
        <v>66:field223:0</v>
      </c>
    </row>
    <row r="23" spans="1:36" ht="19.5" customHeight="1" x14ac:dyDescent="0.15">
      <c r="A23" s="237"/>
      <c r="B23" s="238"/>
      <c r="C23" s="239"/>
      <c r="D23" s="252"/>
      <c r="E23" s="240"/>
      <c r="F23" s="219"/>
      <c r="G23" s="241"/>
      <c r="H23" s="304" t="s">
        <v>201</v>
      </c>
      <c r="I23" s="243" t="s">
        <v>184</v>
      </c>
      <c r="J23" s="244" t="s">
        <v>185</v>
      </c>
      <c r="K23" s="245"/>
      <c r="L23" s="246"/>
      <c r="M23" s="247" t="s">
        <v>184</v>
      </c>
      <c r="N23" s="244" t="s">
        <v>193</v>
      </c>
      <c r="O23" s="244"/>
      <c r="P23" s="244"/>
      <c r="Q23" s="248"/>
      <c r="R23" s="248"/>
      <c r="S23" s="248"/>
      <c r="T23" s="248"/>
      <c r="U23" s="248"/>
      <c r="V23" s="248"/>
      <c r="W23" s="248"/>
      <c r="X23" s="249"/>
      <c r="Y23" s="267"/>
      <c r="Z23" s="262"/>
      <c r="AA23" s="262"/>
      <c r="AB23" s="251"/>
      <c r="AC23" s="423"/>
      <c r="AD23" s="424"/>
      <c r="AE23" s="424"/>
      <c r="AF23" s="425"/>
      <c r="AI23" s="226" t="str">
        <f>"66:field232:" &amp; IF(I23="■",1,IF(M23="■",2,0))</f>
        <v>66:field232:0</v>
      </c>
    </row>
    <row r="24" spans="1:36" ht="18.75" customHeight="1" x14ac:dyDescent="0.15">
      <c r="A24" s="237"/>
      <c r="B24" s="238"/>
      <c r="C24" s="239"/>
      <c r="D24" s="250" t="s">
        <v>184</v>
      </c>
      <c r="E24" s="240" t="s">
        <v>242</v>
      </c>
      <c r="F24" s="219"/>
      <c r="G24" s="241"/>
      <c r="H24" s="305" t="s">
        <v>254</v>
      </c>
      <c r="I24" s="254" t="s">
        <v>184</v>
      </c>
      <c r="J24" s="255" t="s">
        <v>142</v>
      </c>
      <c r="K24" s="256"/>
      <c r="L24" s="258" t="s">
        <v>184</v>
      </c>
      <c r="M24" s="255" t="s">
        <v>150</v>
      </c>
      <c r="N24" s="255"/>
      <c r="O24" s="288"/>
      <c r="P24" s="288"/>
      <c r="Q24" s="288"/>
      <c r="R24" s="288"/>
      <c r="S24" s="288"/>
      <c r="T24" s="288"/>
      <c r="U24" s="288"/>
      <c r="V24" s="288"/>
      <c r="W24" s="288"/>
      <c r="X24" s="289"/>
      <c r="Y24" s="267"/>
      <c r="Z24" s="262"/>
      <c r="AA24" s="262"/>
      <c r="AB24" s="251"/>
      <c r="AC24" s="423"/>
      <c r="AD24" s="424"/>
      <c r="AE24" s="424"/>
      <c r="AF24" s="425"/>
      <c r="AI24" s="226" t="str">
        <f>"66:field157:" &amp; IF(I24="■",1,IF(L24="■",2,0))</f>
        <v>66:field157:0</v>
      </c>
    </row>
    <row r="25" spans="1:36" ht="18.75" customHeight="1" x14ac:dyDescent="0.15">
      <c r="A25" s="268" t="s">
        <v>184</v>
      </c>
      <c r="B25" s="238">
        <v>66</v>
      </c>
      <c r="C25" s="294" t="s">
        <v>255</v>
      </c>
      <c r="D25" s="250" t="s">
        <v>184</v>
      </c>
      <c r="E25" s="240" t="s">
        <v>245</v>
      </c>
      <c r="F25" s="219"/>
      <c r="G25" s="241"/>
      <c r="H25" s="270" t="s">
        <v>210</v>
      </c>
      <c r="I25" s="258" t="s">
        <v>184</v>
      </c>
      <c r="J25" s="255" t="s">
        <v>142</v>
      </c>
      <c r="K25" s="256"/>
      <c r="L25" s="258" t="s">
        <v>184</v>
      </c>
      <c r="M25" s="255" t="s">
        <v>150</v>
      </c>
      <c r="N25" s="255"/>
      <c r="O25" s="288"/>
      <c r="P25" s="288"/>
      <c r="Q25" s="288"/>
      <c r="R25" s="288"/>
      <c r="S25" s="288"/>
      <c r="T25" s="288"/>
      <c r="U25" s="288"/>
      <c r="V25" s="288"/>
      <c r="W25" s="288"/>
      <c r="X25" s="289"/>
      <c r="Y25" s="267"/>
      <c r="Z25" s="262"/>
      <c r="AA25" s="262"/>
      <c r="AB25" s="251"/>
      <c r="AC25" s="423"/>
      <c r="AD25" s="424"/>
      <c r="AE25" s="424"/>
      <c r="AF25" s="425"/>
      <c r="AI25" s="226" t="str">
        <f>"66:jyakuninti_uke_code:" &amp; IF(I25="■",1,IF(L25="■",2,0))</f>
        <v>66:jyakuninti_uke_code:0</v>
      </c>
    </row>
    <row r="26" spans="1:36" ht="18.75" customHeight="1" x14ac:dyDescent="0.15">
      <c r="A26" s="237"/>
      <c r="B26" s="238"/>
      <c r="C26" s="294" t="s">
        <v>246</v>
      </c>
      <c r="D26" s="250" t="s">
        <v>184</v>
      </c>
      <c r="E26" s="240" t="s">
        <v>247</v>
      </c>
      <c r="F26" s="219"/>
      <c r="G26" s="241"/>
      <c r="H26" s="270" t="s">
        <v>256</v>
      </c>
      <c r="I26" s="258" t="s">
        <v>184</v>
      </c>
      <c r="J26" s="255" t="s">
        <v>142</v>
      </c>
      <c r="K26" s="256"/>
      <c r="L26" s="258" t="s">
        <v>184</v>
      </c>
      <c r="M26" s="255" t="s">
        <v>150</v>
      </c>
      <c r="N26" s="255"/>
      <c r="O26" s="288"/>
      <c r="P26" s="288"/>
      <c r="Q26" s="288"/>
      <c r="R26" s="288"/>
      <c r="S26" s="288"/>
      <c r="T26" s="288"/>
      <c r="U26" s="288"/>
      <c r="V26" s="288"/>
      <c r="W26" s="288"/>
      <c r="X26" s="289"/>
      <c r="Y26" s="267"/>
      <c r="Z26" s="262"/>
      <c r="AA26" s="262"/>
      <c r="AB26" s="251"/>
      <c r="AC26" s="423"/>
      <c r="AD26" s="424"/>
      <c r="AE26" s="424"/>
      <c r="AF26" s="425"/>
      <c r="AI26" s="226" t="str">
        <f>"66:eiyomana_code:" &amp; IF(I26="■",1,IF(L26="■",2,0))</f>
        <v>66:eiyomana_code:0</v>
      </c>
    </row>
    <row r="27" spans="1:36" ht="18.75" customHeight="1" x14ac:dyDescent="0.15">
      <c r="A27" s="237"/>
      <c r="B27" s="238"/>
      <c r="C27" s="294"/>
      <c r="D27" s="219"/>
      <c r="E27" s="240"/>
      <c r="F27" s="219"/>
      <c r="G27" s="241"/>
      <c r="H27" s="287" t="s">
        <v>257</v>
      </c>
      <c r="I27" s="258" t="s">
        <v>184</v>
      </c>
      <c r="J27" s="255" t="s">
        <v>142</v>
      </c>
      <c r="K27" s="256"/>
      <c r="L27" s="258" t="s">
        <v>184</v>
      </c>
      <c r="M27" s="255" t="s">
        <v>150</v>
      </c>
      <c r="N27" s="255"/>
      <c r="O27" s="288"/>
      <c r="P27" s="288"/>
      <c r="Q27" s="288"/>
      <c r="R27" s="288"/>
      <c r="S27" s="288"/>
      <c r="T27" s="288"/>
      <c r="U27" s="288"/>
      <c r="V27" s="288"/>
      <c r="W27" s="288"/>
      <c r="X27" s="289"/>
      <c r="Y27" s="267"/>
      <c r="Z27" s="262"/>
      <c r="AA27" s="262"/>
      <c r="AB27" s="251"/>
      <c r="AC27" s="423"/>
      <c r="AD27" s="424"/>
      <c r="AE27" s="424"/>
      <c r="AF27" s="425"/>
      <c r="AI27" s="226" t="str">
        <f>"66:koukoukino_code:" &amp; IF(I27="■",1,IF(L27="■",2,0))</f>
        <v>66:koukoukino_code:0</v>
      </c>
    </row>
    <row r="28" spans="1:36" ht="18.75" customHeight="1" x14ac:dyDescent="0.15">
      <c r="A28" s="237"/>
      <c r="B28" s="238"/>
      <c r="C28" s="294"/>
      <c r="D28" s="219"/>
      <c r="E28" s="240"/>
      <c r="F28" s="219"/>
      <c r="G28" s="241"/>
      <c r="H28" s="306" t="s">
        <v>258</v>
      </c>
      <c r="I28" s="284" t="s">
        <v>184</v>
      </c>
      <c r="J28" s="375" t="s">
        <v>142</v>
      </c>
      <c r="K28" s="375"/>
      <c r="L28" s="285" t="s">
        <v>184</v>
      </c>
      <c r="M28" s="375" t="s">
        <v>150</v>
      </c>
      <c r="N28" s="375"/>
      <c r="O28" s="307"/>
      <c r="P28" s="307"/>
      <c r="Q28" s="307"/>
      <c r="R28" s="307"/>
      <c r="S28" s="307"/>
      <c r="T28" s="307"/>
      <c r="U28" s="307"/>
      <c r="V28" s="307"/>
      <c r="W28" s="307"/>
      <c r="X28" s="308"/>
      <c r="Y28" s="267"/>
      <c r="Z28" s="262"/>
      <c r="AA28" s="262"/>
      <c r="AB28" s="251"/>
      <c r="AC28" s="423"/>
      <c r="AD28" s="424"/>
      <c r="AE28" s="424"/>
      <c r="AF28" s="425"/>
      <c r="AI28" s="226" t="str">
        <f>"66:field174:" &amp; IF(I28="■",1,IF(L28="■",2,0))</f>
        <v>66:field174:0</v>
      </c>
    </row>
    <row r="29" spans="1:36" ht="18.75" customHeight="1" x14ac:dyDescent="0.15">
      <c r="A29" s="237"/>
      <c r="B29" s="238"/>
      <c r="C29" s="294"/>
      <c r="D29" s="219"/>
      <c r="E29" s="240"/>
      <c r="F29" s="219"/>
      <c r="G29" s="241"/>
      <c r="H29" s="287" t="s">
        <v>121</v>
      </c>
      <c r="I29" s="284" t="s">
        <v>184</v>
      </c>
      <c r="J29" s="255" t="s">
        <v>142</v>
      </c>
      <c r="K29" s="256"/>
      <c r="L29" s="258" t="s">
        <v>184</v>
      </c>
      <c r="M29" s="255" t="s">
        <v>150</v>
      </c>
      <c r="N29" s="255"/>
      <c r="O29" s="288"/>
      <c r="P29" s="288"/>
      <c r="Q29" s="288"/>
      <c r="R29" s="288"/>
      <c r="S29" s="288"/>
      <c r="T29" s="288"/>
      <c r="U29" s="288"/>
      <c r="V29" s="288"/>
      <c r="W29" s="288"/>
      <c r="X29" s="289"/>
      <c r="Y29" s="267"/>
      <c r="Z29" s="262"/>
      <c r="AA29" s="262"/>
      <c r="AB29" s="251"/>
      <c r="AC29" s="423"/>
      <c r="AD29" s="424"/>
      <c r="AE29" s="424"/>
      <c r="AF29" s="425"/>
      <c r="AI29" s="226" t="str">
        <f>"66:field212:" &amp; IF(I29="■",1,IF(L29="■",2,0))</f>
        <v>66:field212:0</v>
      </c>
    </row>
    <row r="30" spans="1:36" ht="18.75" customHeight="1" x14ac:dyDescent="0.15">
      <c r="A30" s="237"/>
      <c r="B30" s="238"/>
      <c r="C30" s="294"/>
      <c r="D30" s="219"/>
      <c r="E30" s="240"/>
      <c r="F30" s="219"/>
      <c r="G30" s="241"/>
      <c r="H30" s="270" t="s">
        <v>96</v>
      </c>
      <c r="I30" s="284" t="s">
        <v>184</v>
      </c>
      <c r="J30" s="255" t="s">
        <v>142</v>
      </c>
      <c r="K30" s="255"/>
      <c r="L30" s="258" t="s">
        <v>184</v>
      </c>
      <c r="M30" s="255" t="s">
        <v>259</v>
      </c>
      <c r="N30" s="255"/>
      <c r="O30" s="258" t="s">
        <v>184</v>
      </c>
      <c r="P30" s="255" t="s">
        <v>241</v>
      </c>
      <c r="Q30" s="255"/>
      <c r="R30" s="258" t="s">
        <v>184</v>
      </c>
      <c r="S30" s="255" t="s">
        <v>260</v>
      </c>
      <c r="T30" s="288"/>
      <c r="U30" s="288"/>
      <c r="V30" s="288"/>
      <c r="W30" s="288"/>
      <c r="X30" s="289"/>
      <c r="Y30" s="267"/>
      <c r="Z30" s="262"/>
      <c r="AA30" s="262"/>
      <c r="AB30" s="251"/>
      <c r="AC30" s="423"/>
      <c r="AD30" s="424"/>
      <c r="AE30" s="424"/>
      <c r="AF30" s="425"/>
      <c r="AI30" s="226" t="str">
        <f>"66:serteikyo_kyoka_code:" &amp; IF(I30="■",1,IF(L30="■",5,IF(O30="■",4,IF(R30="■",6,0))))</f>
        <v>66:serteikyo_kyoka_code:0</v>
      </c>
    </row>
    <row r="31" spans="1:36" ht="18.75" customHeight="1" x14ac:dyDescent="0.15">
      <c r="A31" s="271"/>
      <c r="B31" s="238"/>
      <c r="C31" s="272"/>
      <c r="D31" s="231"/>
      <c r="E31" s="236"/>
      <c r="F31" s="220"/>
      <c r="G31" s="273"/>
      <c r="H31" s="274" t="s">
        <v>208</v>
      </c>
      <c r="I31" s="275" t="s">
        <v>184</v>
      </c>
      <c r="J31" s="43" t="s">
        <v>142</v>
      </c>
      <c r="K31" s="43"/>
      <c r="L31" s="276" t="s">
        <v>184</v>
      </c>
      <c r="M31" s="43" t="s">
        <v>195</v>
      </c>
      <c r="N31" s="277"/>
      <c r="O31" s="276" t="s">
        <v>184</v>
      </c>
      <c r="P31" s="233" t="s">
        <v>196</v>
      </c>
      <c r="Q31" s="278"/>
      <c r="R31" s="276" t="s">
        <v>184</v>
      </c>
      <c r="S31" s="43" t="s">
        <v>197</v>
      </c>
      <c r="T31" s="278"/>
      <c r="U31" s="276" t="s">
        <v>184</v>
      </c>
      <c r="V31" s="43" t="s">
        <v>198</v>
      </c>
      <c r="W31" s="279"/>
      <c r="X31" s="280"/>
      <c r="Y31" s="281"/>
      <c r="Z31" s="281"/>
      <c r="AA31" s="281"/>
      <c r="AB31" s="282"/>
      <c r="AC31" s="426"/>
      <c r="AD31" s="427"/>
      <c r="AE31" s="427"/>
      <c r="AF31" s="428"/>
      <c r="AG31" s="226"/>
      <c r="AH31" s="226"/>
      <c r="AI31" s="226" t="str">
        <f>"66:shoguukaizen_code:"&amp;IF(I31="■",1,IF(L31="■",7,IF(O31="■",8,IF(R31="■",9,IF(U31="■","A",0)))))</f>
        <v>66:shoguukaizen_code:0</v>
      </c>
    </row>
    <row r="32" spans="1:36" ht="18.75" customHeight="1" x14ac:dyDescent="0.15">
      <c r="A32" s="41"/>
      <c r="B32" s="214"/>
      <c r="C32" s="293"/>
      <c r="D32" s="6"/>
      <c r="E32" s="23"/>
      <c r="F32" s="6"/>
      <c r="G32" s="229"/>
      <c r="H32" s="414" t="s">
        <v>118</v>
      </c>
      <c r="I32" s="297" t="s">
        <v>184</v>
      </c>
      <c r="J32" s="22" t="s">
        <v>153</v>
      </c>
      <c r="K32" s="320"/>
      <c r="L32" s="218"/>
      <c r="M32" s="227" t="s">
        <v>184</v>
      </c>
      <c r="N32" s="22" t="s">
        <v>157</v>
      </c>
      <c r="O32" s="7"/>
      <c r="P32" s="7"/>
      <c r="Q32" s="227" t="s">
        <v>184</v>
      </c>
      <c r="R32" s="22" t="s">
        <v>158</v>
      </c>
      <c r="S32" s="7"/>
      <c r="T32" s="7"/>
      <c r="U32" s="227" t="s">
        <v>184</v>
      </c>
      <c r="V32" s="22" t="s">
        <v>159</v>
      </c>
      <c r="W32" s="7"/>
      <c r="X32" s="4"/>
      <c r="Y32" s="297" t="s">
        <v>184</v>
      </c>
      <c r="Z32" s="22" t="s">
        <v>141</v>
      </c>
      <c r="AA32" s="22"/>
      <c r="AB32" s="302"/>
      <c r="AC32" s="385"/>
      <c r="AD32" s="386"/>
      <c r="AE32" s="386"/>
      <c r="AF32" s="387"/>
      <c r="AG32" s="226" t="str">
        <f>"ser_code = '" &amp; IF(A43="■","2B","") &amp; "'"</f>
        <v>ser_code = ''</v>
      </c>
      <c r="AH32" s="226" t="str">
        <f>"2B:jininkbn_code:"&amp;IF(F42="■",1,IF(F43="■",2,IF(F44="■",3,0)))</f>
        <v>2B:jininkbn_code:0</v>
      </c>
      <c r="AI32" s="226" t="str">
        <f>"2B:yakan_kinmu_code:" &amp; IF(I32="■",1,IF(M32="■",2,IF(Q32="■",3,IF(U32="■",7,IF(I33="■",5,IF(M33="■",6,0))))))</f>
        <v>2B:yakan_kinmu_code:0</v>
      </c>
      <c r="AJ32" s="226" t="str">
        <f>"2B:field203:" &amp; IF(Y32="■",1,IF(Y33="■",2,0))</f>
        <v>2B:field203:0</v>
      </c>
    </row>
    <row r="33" spans="1:36" ht="18.75" customHeight="1" x14ac:dyDescent="0.15">
      <c r="A33" s="237"/>
      <c r="B33" s="238"/>
      <c r="C33" s="239"/>
      <c r="D33" s="252"/>
      <c r="E33" s="241"/>
      <c r="F33" s="252"/>
      <c r="G33" s="240"/>
      <c r="H33" s="415"/>
      <c r="I33" s="268" t="s">
        <v>184</v>
      </c>
      <c r="J33" s="244" t="s">
        <v>160</v>
      </c>
      <c r="K33" s="245"/>
      <c r="L33" s="246"/>
      <c r="M33" s="247" t="s">
        <v>184</v>
      </c>
      <c r="N33" s="244" t="s">
        <v>154</v>
      </c>
      <c r="O33" s="316"/>
      <c r="P33" s="316"/>
      <c r="Q33" s="316"/>
      <c r="R33" s="316"/>
      <c r="S33" s="316"/>
      <c r="T33" s="316"/>
      <c r="U33" s="316"/>
      <c r="V33" s="316"/>
      <c r="W33" s="316"/>
      <c r="X33" s="317"/>
      <c r="Y33" s="250" t="s">
        <v>184</v>
      </c>
      <c r="Z33" s="2" t="s">
        <v>145</v>
      </c>
      <c r="AA33" s="262"/>
      <c r="AB33" s="251"/>
      <c r="AC33" s="388"/>
      <c r="AD33" s="389"/>
      <c r="AE33" s="389"/>
      <c r="AF33" s="390"/>
      <c r="AG33" s="226" t="str">
        <f>"2B:sisetukbn_code:"&amp;IF(D43="■","1",0)</f>
        <v>2B:sisetukbn_code:0</v>
      </c>
      <c r="AH33" s="226"/>
      <c r="AI33" s="226"/>
      <c r="AJ33" s="226"/>
    </row>
    <row r="34" spans="1:36" ht="18.75" customHeight="1" x14ac:dyDescent="0.15">
      <c r="A34" s="237"/>
      <c r="B34" s="238"/>
      <c r="C34" s="239"/>
      <c r="D34" s="252"/>
      <c r="E34" s="241"/>
      <c r="F34" s="252"/>
      <c r="G34" s="240"/>
      <c r="H34" s="416" t="s">
        <v>87</v>
      </c>
      <c r="I34" s="284" t="s">
        <v>184</v>
      </c>
      <c r="J34" s="286" t="s">
        <v>142</v>
      </c>
      <c r="K34" s="286"/>
      <c r="L34" s="321"/>
      <c r="M34" s="285" t="s">
        <v>184</v>
      </c>
      <c r="N34" s="286" t="s">
        <v>152</v>
      </c>
      <c r="O34" s="286"/>
      <c r="P34" s="321"/>
      <c r="Q34" s="285" t="s">
        <v>184</v>
      </c>
      <c r="R34" s="322" t="s">
        <v>173</v>
      </c>
      <c r="S34" s="322"/>
      <c r="T34" s="322"/>
      <c r="U34" s="314"/>
      <c r="V34" s="321"/>
      <c r="W34" s="322"/>
      <c r="X34" s="315"/>
      <c r="Y34" s="267"/>
      <c r="Z34" s="262"/>
      <c r="AA34" s="262"/>
      <c r="AB34" s="251"/>
      <c r="AC34" s="388"/>
      <c r="AD34" s="389"/>
      <c r="AE34" s="389"/>
      <c r="AF34" s="390"/>
      <c r="AG34" s="226"/>
      <c r="AH34" s="226"/>
      <c r="AI34" s="226" t="str">
        <f>"2B:"&amp;IF(AND(I34="□",M34="□",Q34="□",I35="□",M35="□"),"ketu_doctor_code:0",IF(I34="■","ketu_doctor_code:1:field197:1:ketu_kangos_code:1:ketu_kshoku_code:1",IF(M34="■","ketu_doctor_code:2","ketu_doctor_code:1")
&amp;IF(Q34="■",":field197:2",":field197:1")
&amp;IF(I35="■",":ketu_kangos_code:2",":ketu_kangos_code:1")
&amp;IF(M35="■",":ketu_kshoku_code:2",":ketu_kshoku_code:1")))</f>
        <v>2B:ketu_doctor_code:0</v>
      </c>
      <c r="AJ34" s="226"/>
    </row>
    <row r="35" spans="1:36" ht="18.75" customHeight="1" x14ac:dyDescent="0.15">
      <c r="A35" s="237"/>
      <c r="B35" s="238"/>
      <c r="C35" s="239"/>
      <c r="D35" s="252"/>
      <c r="E35" s="241"/>
      <c r="F35" s="252"/>
      <c r="G35" s="240"/>
      <c r="H35" s="415"/>
      <c r="I35" s="268" t="s">
        <v>184</v>
      </c>
      <c r="J35" s="316" t="s">
        <v>174</v>
      </c>
      <c r="K35" s="316"/>
      <c r="L35" s="316"/>
      <c r="M35" s="247" t="s">
        <v>184</v>
      </c>
      <c r="N35" s="316" t="s">
        <v>175</v>
      </c>
      <c r="O35" s="246"/>
      <c r="P35" s="316"/>
      <c r="Q35" s="316"/>
      <c r="R35" s="246"/>
      <c r="S35" s="316"/>
      <c r="T35" s="316"/>
      <c r="U35" s="248"/>
      <c r="V35" s="246"/>
      <c r="W35" s="316"/>
      <c r="X35" s="249"/>
      <c r="Y35" s="267"/>
      <c r="Z35" s="262"/>
      <c r="AA35" s="262"/>
      <c r="AB35" s="251"/>
      <c r="AC35" s="388"/>
      <c r="AD35" s="389"/>
      <c r="AE35" s="389"/>
      <c r="AF35" s="390"/>
    </row>
    <row r="36" spans="1:36" s="226" customFormat="1" ht="18.75" customHeight="1" x14ac:dyDescent="0.15">
      <c r="A36" s="237"/>
      <c r="B36" s="238"/>
      <c r="C36" s="311"/>
      <c r="D36" s="312"/>
      <c r="E36" s="240"/>
      <c r="F36" s="219"/>
      <c r="G36" s="241"/>
      <c r="H36" s="270" t="s">
        <v>92</v>
      </c>
      <c r="I36" s="254" t="s">
        <v>184</v>
      </c>
      <c r="J36" s="255" t="s">
        <v>185</v>
      </c>
      <c r="K36" s="256"/>
      <c r="L36" s="257"/>
      <c r="M36" s="258" t="s">
        <v>184</v>
      </c>
      <c r="N36" s="255" t="s">
        <v>186</v>
      </c>
      <c r="O36" s="256"/>
      <c r="P36" s="256"/>
      <c r="Q36" s="256"/>
      <c r="R36" s="256"/>
      <c r="S36" s="256"/>
      <c r="T36" s="256"/>
      <c r="U36" s="256"/>
      <c r="V36" s="256"/>
      <c r="W36" s="256"/>
      <c r="X36" s="269"/>
      <c r="Y36" s="267"/>
      <c r="Z36" s="262"/>
      <c r="AA36" s="262"/>
      <c r="AB36" s="251"/>
      <c r="AC36" s="388"/>
      <c r="AD36" s="389"/>
      <c r="AE36" s="389"/>
      <c r="AF36" s="390"/>
      <c r="AI36" s="226" t="str">
        <f>"2B:sintaikousoku_code:" &amp; IF(I36="■",1,IF(M36="■",2,0))</f>
        <v>2B:sintaikousoku_code:0</v>
      </c>
    </row>
    <row r="37" spans="1:36" ht="19.5" customHeight="1" x14ac:dyDescent="0.15">
      <c r="A37" s="237"/>
      <c r="B37" s="238"/>
      <c r="C37" s="239"/>
      <c r="D37" s="252"/>
      <c r="E37" s="240"/>
      <c r="F37" s="219"/>
      <c r="G37" s="241"/>
      <c r="H37" s="253" t="s">
        <v>192</v>
      </c>
      <c r="I37" s="284" t="s">
        <v>184</v>
      </c>
      <c r="J37" s="255" t="s">
        <v>185</v>
      </c>
      <c r="K37" s="256"/>
      <c r="L37" s="257"/>
      <c r="M37" s="258" t="s">
        <v>184</v>
      </c>
      <c r="N37" s="255" t="s">
        <v>193</v>
      </c>
      <c r="O37" s="255"/>
      <c r="P37" s="255"/>
      <c r="Q37" s="260"/>
      <c r="R37" s="260"/>
      <c r="S37" s="260"/>
      <c r="T37" s="260"/>
      <c r="U37" s="260"/>
      <c r="V37" s="260"/>
      <c r="W37" s="260"/>
      <c r="X37" s="261"/>
      <c r="Y37" s="262"/>
      <c r="Z37" s="262"/>
      <c r="AA37" s="262"/>
      <c r="AB37" s="251"/>
      <c r="AC37" s="388"/>
      <c r="AD37" s="389"/>
      <c r="AE37" s="389"/>
      <c r="AF37" s="390"/>
      <c r="AI37" s="226" t="str">
        <f>"2B:field223:" &amp; IF(I37="■",1,IF(M37="■",2,0))</f>
        <v>2B:field223:0</v>
      </c>
    </row>
    <row r="38" spans="1:36" ht="19.5" customHeight="1" x14ac:dyDescent="0.15">
      <c r="A38" s="237"/>
      <c r="B38" s="238"/>
      <c r="C38" s="239"/>
      <c r="D38" s="252"/>
      <c r="E38" s="240"/>
      <c r="F38" s="219"/>
      <c r="G38" s="241"/>
      <c r="H38" s="253" t="s">
        <v>201</v>
      </c>
      <c r="I38" s="284" t="s">
        <v>184</v>
      </c>
      <c r="J38" s="255" t="s">
        <v>185</v>
      </c>
      <c r="K38" s="256"/>
      <c r="L38" s="257"/>
      <c r="M38" s="258" t="s">
        <v>184</v>
      </c>
      <c r="N38" s="255" t="s">
        <v>193</v>
      </c>
      <c r="O38" s="255"/>
      <c r="P38" s="255"/>
      <c r="Q38" s="260"/>
      <c r="R38" s="260"/>
      <c r="S38" s="260"/>
      <c r="T38" s="260"/>
      <c r="U38" s="260"/>
      <c r="V38" s="260"/>
      <c r="W38" s="260"/>
      <c r="X38" s="261"/>
      <c r="Y38" s="262"/>
      <c r="Z38" s="262"/>
      <c r="AA38" s="262"/>
      <c r="AB38" s="251"/>
      <c r="AC38" s="388"/>
      <c r="AD38" s="389"/>
      <c r="AE38" s="389"/>
      <c r="AF38" s="390"/>
      <c r="AI38" s="226" t="str">
        <f>"2B:field232:" &amp; IF(I38="■",1,IF(M38="■",2,0))</f>
        <v>2B:field232:0</v>
      </c>
    </row>
    <row r="39" spans="1:36" ht="18.75" customHeight="1" x14ac:dyDescent="0.15">
      <c r="A39" s="237"/>
      <c r="B39" s="238"/>
      <c r="C39" s="239"/>
      <c r="D39" s="252"/>
      <c r="E39" s="241"/>
      <c r="F39" s="252"/>
      <c r="G39" s="240"/>
      <c r="H39" s="270" t="s">
        <v>112</v>
      </c>
      <c r="I39" s="284" t="s">
        <v>184</v>
      </c>
      <c r="J39" s="255" t="s">
        <v>153</v>
      </c>
      <c r="K39" s="256"/>
      <c r="L39" s="257"/>
      <c r="M39" s="258" t="s">
        <v>184</v>
      </c>
      <c r="N39" s="255" t="s">
        <v>161</v>
      </c>
      <c r="O39" s="260"/>
      <c r="P39" s="260"/>
      <c r="Q39" s="260"/>
      <c r="R39" s="260"/>
      <c r="S39" s="260"/>
      <c r="T39" s="260"/>
      <c r="U39" s="260"/>
      <c r="V39" s="260"/>
      <c r="W39" s="260"/>
      <c r="X39" s="261"/>
      <c r="Y39" s="267"/>
      <c r="Z39" s="262"/>
      <c r="AA39" s="262"/>
      <c r="AB39" s="251"/>
      <c r="AC39" s="388"/>
      <c r="AD39" s="389"/>
      <c r="AE39" s="389"/>
      <c r="AF39" s="390"/>
      <c r="AI39" s="226" t="str">
        <f>"2B:field190:" &amp; IF(I39="■",1,IF(M39="■",2,0))</f>
        <v>2B:field190:0</v>
      </c>
    </row>
    <row r="40" spans="1:36" ht="18.75" customHeight="1" x14ac:dyDescent="0.15">
      <c r="A40" s="237"/>
      <c r="B40" s="238"/>
      <c r="C40" s="239"/>
      <c r="D40" s="252"/>
      <c r="E40" s="241"/>
      <c r="F40" s="252"/>
      <c r="G40" s="240"/>
      <c r="H40" s="270" t="s">
        <v>113</v>
      </c>
      <c r="I40" s="284" t="s">
        <v>184</v>
      </c>
      <c r="J40" s="255" t="s">
        <v>153</v>
      </c>
      <c r="K40" s="256"/>
      <c r="L40" s="257"/>
      <c r="M40" s="258" t="s">
        <v>184</v>
      </c>
      <c r="N40" s="255" t="s">
        <v>161</v>
      </c>
      <c r="O40" s="260"/>
      <c r="P40" s="260"/>
      <c r="Q40" s="260"/>
      <c r="R40" s="260"/>
      <c r="S40" s="260"/>
      <c r="T40" s="260"/>
      <c r="U40" s="260"/>
      <c r="V40" s="260"/>
      <c r="W40" s="260"/>
      <c r="X40" s="261"/>
      <c r="Y40" s="267"/>
      <c r="Z40" s="262"/>
      <c r="AA40" s="262"/>
      <c r="AB40" s="251"/>
      <c r="AC40" s="388"/>
      <c r="AD40" s="389"/>
      <c r="AE40" s="389"/>
      <c r="AF40" s="390"/>
      <c r="AI40" s="226" t="str">
        <f>"2B:field191:" &amp; IF(I40="■",1,IF(M40="■",2,0))</f>
        <v>2B:field191:0</v>
      </c>
    </row>
    <row r="41" spans="1:36" ht="18.75" customHeight="1" x14ac:dyDescent="0.15">
      <c r="A41" s="237"/>
      <c r="B41" s="238"/>
      <c r="C41" s="239"/>
      <c r="D41" s="252"/>
      <c r="E41" s="241"/>
      <c r="F41" s="252"/>
      <c r="G41" s="240"/>
      <c r="H41" s="270" t="s">
        <v>210</v>
      </c>
      <c r="I41" s="284" t="s">
        <v>184</v>
      </c>
      <c r="J41" s="255" t="s">
        <v>142</v>
      </c>
      <c r="K41" s="256"/>
      <c r="L41" s="258" t="s">
        <v>184</v>
      </c>
      <c r="M41" s="255" t="s">
        <v>150</v>
      </c>
      <c r="N41" s="260"/>
      <c r="O41" s="260"/>
      <c r="P41" s="260"/>
      <c r="Q41" s="256"/>
      <c r="R41" s="260"/>
      <c r="S41" s="260"/>
      <c r="T41" s="260"/>
      <c r="U41" s="260"/>
      <c r="V41" s="260"/>
      <c r="W41" s="260"/>
      <c r="X41" s="261"/>
      <c r="Y41" s="267"/>
      <c r="Z41" s="262"/>
      <c r="AA41" s="262"/>
      <c r="AB41" s="251"/>
      <c r="AC41" s="388"/>
      <c r="AD41" s="389"/>
      <c r="AE41" s="389"/>
      <c r="AF41" s="390"/>
      <c r="AI41" s="226" t="str">
        <f>"2B:jyakuninti_uke_code:" &amp; IF(I41="■",1,IF(L41="■",2,0))</f>
        <v>2B:jyakuninti_uke_code:0</v>
      </c>
    </row>
    <row r="42" spans="1:36" ht="18.75" customHeight="1" x14ac:dyDescent="0.15">
      <c r="A42" s="237"/>
      <c r="B42" s="238"/>
      <c r="C42" s="239"/>
      <c r="D42" s="252"/>
      <c r="E42" s="241"/>
      <c r="F42" s="268" t="s">
        <v>184</v>
      </c>
      <c r="G42" s="240" t="s">
        <v>212</v>
      </c>
      <c r="H42" s="270" t="s">
        <v>88</v>
      </c>
      <c r="I42" s="284" t="s">
        <v>184</v>
      </c>
      <c r="J42" s="255" t="s">
        <v>148</v>
      </c>
      <c r="K42" s="256"/>
      <c r="L42" s="257"/>
      <c r="M42" s="258" t="s">
        <v>184</v>
      </c>
      <c r="N42" s="255" t="s">
        <v>149</v>
      </c>
      <c r="O42" s="260"/>
      <c r="P42" s="260"/>
      <c r="Q42" s="256"/>
      <c r="R42" s="260"/>
      <c r="S42" s="260"/>
      <c r="T42" s="260"/>
      <c r="U42" s="260"/>
      <c r="V42" s="260"/>
      <c r="W42" s="260"/>
      <c r="X42" s="261"/>
      <c r="Y42" s="267"/>
      <c r="Z42" s="262"/>
      <c r="AA42" s="262"/>
      <c r="AB42" s="251"/>
      <c r="AC42" s="388"/>
      <c r="AD42" s="389"/>
      <c r="AE42" s="389"/>
      <c r="AF42" s="390"/>
      <c r="AI42" s="226" t="str">
        <f>"2B:sougei_code:" &amp; IF(I42="■",1,IF(M42="■",2,0))</f>
        <v>2B:sougei_code:0</v>
      </c>
    </row>
    <row r="43" spans="1:36" ht="19.5" customHeight="1" x14ac:dyDescent="0.15">
      <c r="A43" s="268" t="s">
        <v>184</v>
      </c>
      <c r="B43" s="238" t="s">
        <v>213</v>
      </c>
      <c r="C43" s="239" t="s">
        <v>211</v>
      </c>
      <c r="D43" s="268" t="s">
        <v>184</v>
      </c>
      <c r="E43" s="241" t="s">
        <v>214</v>
      </c>
      <c r="F43" s="268" t="s">
        <v>184</v>
      </c>
      <c r="G43" s="240" t="s">
        <v>170</v>
      </c>
      <c r="H43" s="253" t="s">
        <v>194</v>
      </c>
      <c r="I43" s="284" t="s">
        <v>184</v>
      </c>
      <c r="J43" s="255" t="s">
        <v>142</v>
      </c>
      <c r="K43" s="255"/>
      <c r="L43" s="258" t="s">
        <v>184</v>
      </c>
      <c r="M43" s="255" t="s">
        <v>150</v>
      </c>
      <c r="N43" s="255"/>
      <c r="O43" s="260"/>
      <c r="P43" s="255"/>
      <c r="Q43" s="260"/>
      <c r="R43" s="260"/>
      <c r="S43" s="260"/>
      <c r="T43" s="260"/>
      <c r="U43" s="260"/>
      <c r="V43" s="260"/>
      <c r="W43" s="260"/>
      <c r="X43" s="261"/>
      <c r="Y43" s="262"/>
      <c r="Z43" s="262"/>
      <c r="AA43" s="262"/>
      <c r="AB43" s="251"/>
      <c r="AC43" s="388"/>
      <c r="AD43" s="389"/>
      <c r="AE43" s="389"/>
      <c r="AF43" s="390"/>
      <c r="AI43" s="226" t="str">
        <f>"2B:field224:" &amp; IF(I43="■",1,IF(L43="■",2,0))</f>
        <v>2B:field224:0</v>
      </c>
    </row>
    <row r="44" spans="1:36" ht="18.75" customHeight="1" x14ac:dyDescent="0.15">
      <c r="A44" s="237"/>
      <c r="B44" s="238"/>
      <c r="C44" s="239"/>
      <c r="D44" s="252"/>
      <c r="E44" s="241"/>
      <c r="F44" s="268" t="s">
        <v>184</v>
      </c>
      <c r="G44" s="240" t="s">
        <v>171</v>
      </c>
      <c r="H44" s="270" t="s">
        <v>94</v>
      </c>
      <c r="I44" s="284" t="s">
        <v>184</v>
      </c>
      <c r="J44" s="255" t="s">
        <v>142</v>
      </c>
      <c r="K44" s="256"/>
      <c r="L44" s="258" t="s">
        <v>184</v>
      </c>
      <c r="M44" s="255" t="s">
        <v>150</v>
      </c>
      <c r="N44" s="260"/>
      <c r="O44" s="260"/>
      <c r="P44" s="260"/>
      <c r="Q44" s="256"/>
      <c r="R44" s="260"/>
      <c r="S44" s="260"/>
      <c r="T44" s="260"/>
      <c r="U44" s="260"/>
      <c r="V44" s="260"/>
      <c r="W44" s="260"/>
      <c r="X44" s="261"/>
      <c r="Y44" s="267"/>
      <c r="Z44" s="262"/>
      <c r="AA44" s="262"/>
      <c r="AB44" s="251"/>
      <c r="AC44" s="388"/>
      <c r="AD44" s="389"/>
      <c r="AE44" s="389"/>
      <c r="AF44" s="390"/>
      <c r="AI44" s="226" t="str">
        <f>"2B:ryouyoushoku_code:" &amp; IF(I44="■",1,IF(L44="■",2,0))</f>
        <v>2B:ryouyoushoku_code:0</v>
      </c>
    </row>
    <row r="45" spans="1:36" ht="18.75" customHeight="1" x14ac:dyDescent="0.15">
      <c r="A45" s="237"/>
      <c r="B45" s="238"/>
      <c r="C45" s="239"/>
      <c r="D45" s="252"/>
      <c r="E45" s="241"/>
      <c r="F45" s="252"/>
      <c r="G45" s="240"/>
      <c r="H45" s="270" t="s">
        <v>95</v>
      </c>
      <c r="I45" s="284" t="s">
        <v>184</v>
      </c>
      <c r="J45" s="255" t="s">
        <v>142</v>
      </c>
      <c r="K45" s="255"/>
      <c r="L45" s="258" t="s">
        <v>184</v>
      </c>
      <c r="M45" s="255" t="s">
        <v>143</v>
      </c>
      <c r="N45" s="255"/>
      <c r="O45" s="258" t="s">
        <v>184</v>
      </c>
      <c r="P45" s="255" t="s">
        <v>144</v>
      </c>
      <c r="Q45" s="260"/>
      <c r="R45" s="260"/>
      <c r="S45" s="260"/>
      <c r="T45" s="260"/>
      <c r="U45" s="260"/>
      <c r="V45" s="260"/>
      <c r="W45" s="260"/>
      <c r="X45" s="261"/>
      <c r="Y45" s="267"/>
      <c r="Z45" s="262"/>
      <c r="AA45" s="262"/>
      <c r="AB45" s="251"/>
      <c r="AC45" s="388"/>
      <c r="AD45" s="389"/>
      <c r="AE45" s="389"/>
      <c r="AF45" s="390"/>
      <c r="AI45" s="226" t="str">
        <f>"2B:ninti_senmoncare_code:" &amp; IF(I45="■",1,IF(O45="■",3,IF(L45="■",2,0)))</f>
        <v>2B:ninti_senmoncare_code:0</v>
      </c>
    </row>
    <row r="46" spans="1:36" ht="18.75" customHeight="1" x14ac:dyDescent="0.15">
      <c r="A46" s="237"/>
      <c r="B46" s="238"/>
      <c r="C46" s="239"/>
      <c r="D46" s="252"/>
      <c r="E46" s="241"/>
      <c r="F46" s="252"/>
      <c r="G46" s="240"/>
      <c r="H46" s="416" t="s">
        <v>108</v>
      </c>
      <c r="I46" s="284" t="s">
        <v>184</v>
      </c>
      <c r="J46" s="286" t="s">
        <v>155</v>
      </c>
      <c r="K46" s="286"/>
      <c r="L46" s="314"/>
      <c r="M46" s="314"/>
      <c r="N46" s="314"/>
      <c r="O46" s="314"/>
      <c r="P46" s="285" t="s">
        <v>184</v>
      </c>
      <c r="Q46" s="286" t="s">
        <v>156</v>
      </c>
      <c r="R46" s="314"/>
      <c r="S46" s="314"/>
      <c r="T46" s="314"/>
      <c r="U46" s="314"/>
      <c r="V46" s="314"/>
      <c r="W46" s="314"/>
      <c r="X46" s="315"/>
      <c r="Y46" s="267"/>
      <c r="Z46" s="262"/>
      <c r="AA46" s="262"/>
      <c r="AB46" s="251"/>
      <c r="AC46" s="388"/>
      <c r="AD46" s="389"/>
      <c r="AE46" s="389"/>
      <c r="AF46" s="390"/>
      <c r="AI46" s="226" t="str">
        <f>"2B:" &amp; IF(AND(I46="□",P46="□",I47="□"),"tokusin_jyusho_code:0:tokusin_yakuzai_code:0:shuudan_comu_code:0",IF(I46="■","tokusin_jyusho_code:2","tokusin_jyusho_code:1")
&amp;IF(P46="■",":tokusin_yakuzai_code:2",":tokusin_yakuzai_code:1")
&amp;IF(I47="■",":shuudan_comu_code:2",":shuudan_comu_code:1"))</f>
        <v>2B:tokusin_jyusho_code:0:tokusin_yakuzai_code:0:shuudan_comu_code:0</v>
      </c>
    </row>
    <row r="47" spans="1:36" ht="18.75" customHeight="1" x14ac:dyDescent="0.15">
      <c r="A47" s="237"/>
      <c r="B47" s="238"/>
      <c r="C47" s="239"/>
      <c r="D47" s="252"/>
      <c r="E47" s="241"/>
      <c r="F47" s="252"/>
      <c r="G47" s="240"/>
      <c r="H47" s="415"/>
      <c r="I47" s="268" t="s">
        <v>184</v>
      </c>
      <c r="J47" s="244" t="s">
        <v>162</v>
      </c>
      <c r="K47" s="248"/>
      <c r="L47" s="248"/>
      <c r="M47" s="248"/>
      <c r="N47" s="248"/>
      <c r="O47" s="248"/>
      <c r="P47" s="248"/>
      <c r="Q47" s="316"/>
      <c r="R47" s="248"/>
      <c r="S47" s="248"/>
      <c r="T47" s="248"/>
      <c r="U47" s="248"/>
      <c r="V47" s="248"/>
      <c r="W47" s="248"/>
      <c r="X47" s="249"/>
      <c r="Y47" s="267"/>
      <c r="Z47" s="262"/>
      <c r="AA47" s="262"/>
      <c r="AB47" s="251"/>
      <c r="AC47" s="388"/>
      <c r="AD47" s="389"/>
      <c r="AE47" s="389"/>
      <c r="AF47" s="390"/>
      <c r="AI47" s="226"/>
    </row>
    <row r="48" spans="1:36" ht="18.75" customHeight="1" x14ac:dyDescent="0.15">
      <c r="A48" s="237"/>
      <c r="B48" s="238"/>
      <c r="C48" s="239"/>
      <c r="D48" s="252"/>
      <c r="E48" s="241"/>
      <c r="F48" s="252"/>
      <c r="G48" s="240"/>
      <c r="H48" s="416" t="s">
        <v>91</v>
      </c>
      <c r="I48" s="284" t="s">
        <v>184</v>
      </c>
      <c r="J48" s="286" t="s">
        <v>163</v>
      </c>
      <c r="K48" s="264"/>
      <c r="L48" s="321"/>
      <c r="M48" s="285" t="s">
        <v>184</v>
      </c>
      <c r="N48" s="286" t="s">
        <v>164</v>
      </c>
      <c r="O48" s="314"/>
      <c r="P48" s="314"/>
      <c r="Q48" s="285" t="s">
        <v>184</v>
      </c>
      <c r="R48" s="286" t="s">
        <v>165</v>
      </c>
      <c r="S48" s="314"/>
      <c r="T48" s="314"/>
      <c r="U48" s="314"/>
      <c r="V48" s="314"/>
      <c r="W48" s="314"/>
      <c r="X48" s="315"/>
      <c r="Y48" s="267"/>
      <c r="Z48" s="262"/>
      <c r="AA48" s="262"/>
      <c r="AB48" s="251"/>
      <c r="AC48" s="388"/>
      <c r="AD48" s="389"/>
      <c r="AE48" s="389"/>
      <c r="AF48" s="390"/>
      <c r="AI48" s="226" t="str">
        <f>"2B:"&amp;IF(AND(I48="□",M48="□",Q48="□",I49="□",Q49="□"),"koriha_rryoho1_code:0:koriha_sryoho_code:0:koriha_gengo_code:0:riha_seisin_code:0:koriha_other_code:0",IF(I48="■","koriha_rryoho1_code:2","koriha_rryoho1_code:1")
&amp;IF(M48="■",":koriha_sryoho_code:2",":koriha_sryoho_code:1")
&amp;IF(Q48="■",":koriha_gengo_code:2",":koriha_gengo_code:1")
&amp;IF(I49="■",":riha_seisin_code:2",":riha_seisin_code:1")
&amp;IF(Q49="■",":koriha_other_code:2",":koriha_other_code:1"))</f>
        <v>2B:koriha_rryoho1_code:0:koriha_sryoho_code:0:koriha_gengo_code:0:riha_seisin_code:0:koriha_other_code:0</v>
      </c>
    </row>
    <row r="49" spans="1:36" ht="18.75" customHeight="1" x14ac:dyDescent="0.15">
      <c r="A49" s="237"/>
      <c r="B49" s="238"/>
      <c r="C49" s="239"/>
      <c r="D49" s="252"/>
      <c r="E49" s="241"/>
      <c r="F49" s="252"/>
      <c r="G49" s="240"/>
      <c r="H49" s="415"/>
      <c r="I49" s="268" t="s">
        <v>184</v>
      </c>
      <c r="J49" s="244" t="s">
        <v>166</v>
      </c>
      <c r="K49" s="248"/>
      <c r="L49" s="248"/>
      <c r="M49" s="248"/>
      <c r="N49" s="248"/>
      <c r="O49" s="248"/>
      <c r="P49" s="248"/>
      <c r="Q49" s="247" t="s">
        <v>184</v>
      </c>
      <c r="R49" s="244" t="s">
        <v>167</v>
      </c>
      <c r="S49" s="316"/>
      <c r="T49" s="248"/>
      <c r="U49" s="248"/>
      <c r="V49" s="248"/>
      <c r="W49" s="248"/>
      <c r="X49" s="249"/>
      <c r="Y49" s="267"/>
      <c r="Z49" s="262"/>
      <c r="AA49" s="262"/>
      <c r="AB49" s="251"/>
      <c r="AC49" s="388"/>
      <c r="AD49" s="389"/>
      <c r="AE49" s="389"/>
      <c r="AF49" s="390"/>
      <c r="AI49" s="226"/>
    </row>
    <row r="50" spans="1:36" ht="18.75" customHeight="1" x14ac:dyDescent="0.15">
      <c r="A50" s="237"/>
      <c r="B50" s="238"/>
      <c r="C50" s="239"/>
      <c r="D50" s="252"/>
      <c r="E50" s="241"/>
      <c r="F50" s="252"/>
      <c r="G50" s="240"/>
      <c r="H50" s="313" t="s">
        <v>199</v>
      </c>
      <c r="I50" s="284" t="s">
        <v>184</v>
      </c>
      <c r="J50" s="255" t="s">
        <v>142</v>
      </c>
      <c r="K50" s="255"/>
      <c r="L50" s="258" t="s">
        <v>184</v>
      </c>
      <c r="M50" s="255" t="s">
        <v>143</v>
      </c>
      <c r="N50" s="255"/>
      <c r="O50" s="258" t="s">
        <v>184</v>
      </c>
      <c r="P50" s="255" t="s">
        <v>144</v>
      </c>
      <c r="Q50" s="260"/>
      <c r="R50" s="260"/>
      <c r="S50" s="260"/>
      <c r="T50" s="260"/>
      <c r="U50" s="314"/>
      <c r="V50" s="314"/>
      <c r="W50" s="314"/>
      <c r="X50" s="315"/>
      <c r="Y50" s="267"/>
      <c r="Z50" s="262"/>
      <c r="AA50" s="262"/>
      <c r="AB50" s="251"/>
      <c r="AC50" s="388"/>
      <c r="AD50" s="389"/>
      <c r="AE50" s="389"/>
      <c r="AF50" s="390"/>
      <c r="AI50" s="226" t="str">
        <f>"2B:field225:" &amp; IF(I50="■",1,IF(L50="■",2,IF(O50="■",3,0)))</f>
        <v>2B:field225:0</v>
      </c>
    </row>
    <row r="51" spans="1:36" ht="18.75" customHeight="1" x14ac:dyDescent="0.15">
      <c r="A51" s="237"/>
      <c r="B51" s="238"/>
      <c r="C51" s="239"/>
      <c r="D51" s="252"/>
      <c r="E51" s="241"/>
      <c r="F51" s="252"/>
      <c r="G51" s="240"/>
      <c r="H51" s="270" t="s">
        <v>96</v>
      </c>
      <c r="I51" s="284" t="s">
        <v>184</v>
      </c>
      <c r="J51" s="255" t="s">
        <v>142</v>
      </c>
      <c r="K51" s="255"/>
      <c r="L51" s="258" t="s">
        <v>184</v>
      </c>
      <c r="M51" s="255" t="s">
        <v>146</v>
      </c>
      <c r="N51" s="255"/>
      <c r="O51" s="258" t="s">
        <v>184</v>
      </c>
      <c r="P51" s="255" t="s">
        <v>147</v>
      </c>
      <c r="Q51" s="288"/>
      <c r="R51" s="258" t="s">
        <v>184</v>
      </c>
      <c r="S51" s="255" t="s">
        <v>151</v>
      </c>
      <c r="T51" s="288"/>
      <c r="U51" s="288"/>
      <c r="V51" s="288"/>
      <c r="W51" s="288"/>
      <c r="X51" s="289"/>
      <c r="Y51" s="267"/>
      <c r="Z51" s="262"/>
      <c r="AA51" s="262"/>
      <c r="AB51" s="251"/>
      <c r="AC51" s="388"/>
      <c r="AD51" s="389"/>
      <c r="AE51" s="389"/>
      <c r="AF51" s="390"/>
      <c r="AI51" s="226" t="str">
        <f>"2B:serteikyo_kyoka_code:" &amp; IF(I51="■",1,IF(L51="■",6,IF(O51="■",5,IF(R51="■",7,0))))</f>
        <v>2B:serteikyo_kyoka_code:0</v>
      </c>
    </row>
    <row r="52" spans="1:36" ht="18.75" customHeight="1" x14ac:dyDescent="0.15">
      <c r="A52" s="237"/>
      <c r="B52" s="238"/>
      <c r="C52" s="239"/>
      <c r="D52" s="252"/>
      <c r="E52" s="241"/>
      <c r="F52" s="252"/>
      <c r="G52" s="240"/>
      <c r="H52" s="402" t="s">
        <v>209</v>
      </c>
      <c r="I52" s="417" t="s">
        <v>184</v>
      </c>
      <c r="J52" s="418" t="s">
        <v>142</v>
      </c>
      <c r="K52" s="418"/>
      <c r="L52" s="417" t="s">
        <v>184</v>
      </c>
      <c r="M52" s="418" t="s">
        <v>150</v>
      </c>
      <c r="N52" s="418"/>
      <c r="O52" s="322"/>
      <c r="P52" s="322"/>
      <c r="Q52" s="322"/>
      <c r="R52" s="322"/>
      <c r="S52" s="322"/>
      <c r="T52" s="322"/>
      <c r="U52" s="322"/>
      <c r="V52" s="322"/>
      <c r="W52" s="322"/>
      <c r="X52" s="323"/>
      <c r="Y52" s="267"/>
      <c r="Z52" s="262"/>
      <c r="AA52" s="262"/>
      <c r="AB52" s="251"/>
      <c r="AC52" s="388"/>
      <c r="AD52" s="389"/>
      <c r="AE52" s="389"/>
      <c r="AF52" s="390"/>
      <c r="AI52" s="226" t="str">
        <f>"2B:field221:" &amp; IF(I52="■",1,IF(L52="■",2,0))</f>
        <v>2B:field221:0</v>
      </c>
    </row>
    <row r="53" spans="1:36" ht="18.75" customHeight="1" x14ac:dyDescent="0.15">
      <c r="A53" s="237"/>
      <c r="B53" s="238"/>
      <c r="C53" s="239"/>
      <c r="D53" s="252"/>
      <c r="E53" s="241"/>
      <c r="F53" s="252"/>
      <c r="G53" s="240"/>
      <c r="H53" s="382"/>
      <c r="I53" s="417"/>
      <c r="J53" s="418"/>
      <c r="K53" s="418"/>
      <c r="L53" s="417"/>
      <c r="M53" s="418"/>
      <c r="N53" s="418"/>
      <c r="O53" s="316"/>
      <c r="P53" s="316"/>
      <c r="Q53" s="316"/>
      <c r="R53" s="316"/>
      <c r="S53" s="316"/>
      <c r="T53" s="316"/>
      <c r="U53" s="316"/>
      <c r="V53" s="316"/>
      <c r="W53" s="316"/>
      <c r="X53" s="317"/>
      <c r="Y53" s="267"/>
      <c r="Z53" s="262"/>
      <c r="AA53" s="262"/>
      <c r="AB53" s="251"/>
      <c r="AC53" s="388"/>
      <c r="AD53" s="389"/>
      <c r="AE53" s="389"/>
      <c r="AF53" s="390"/>
    </row>
    <row r="54" spans="1:36" ht="18.75" customHeight="1" x14ac:dyDescent="0.15">
      <c r="A54" s="271"/>
      <c r="B54" s="238"/>
      <c r="C54" s="272"/>
      <c r="D54" s="231"/>
      <c r="E54" s="236"/>
      <c r="F54" s="220"/>
      <c r="G54" s="273"/>
      <c r="H54" s="274" t="s">
        <v>208</v>
      </c>
      <c r="I54" s="284" t="s">
        <v>184</v>
      </c>
      <c r="J54" s="43" t="s">
        <v>142</v>
      </c>
      <c r="K54" s="43"/>
      <c r="L54" s="276" t="s">
        <v>184</v>
      </c>
      <c r="M54" s="43" t="s">
        <v>195</v>
      </c>
      <c r="N54" s="277"/>
      <c r="O54" s="276" t="s">
        <v>184</v>
      </c>
      <c r="P54" s="233" t="s">
        <v>196</v>
      </c>
      <c r="Q54" s="278"/>
      <c r="R54" s="276" t="s">
        <v>184</v>
      </c>
      <c r="S54" s="43" t="s">
        <v>197</v>
      </c>
      <c r="T54" s="278"/>
      <c r="U54" s="276" t="s">
        <v>184</v>
      </c>
      <c r="V54" s="43" t="s">
        <v>198</v>
      </c>
      <c r="W54" s="279"/>
      <c r="X54" s="280"/>
      <c r="Y54" s="281"/>
      <c r="Z54" s="281"/>
      <c r="AA54" s="281"/>
      <c r="AB54" s="282"/>
      <c r="AC54" s="388"/>
      <c r="AD54" s="389"/>
      <c r="AE54" s="389"/>
      <c r="AF54" s="390"/>
      <c r="AG54" s="226"/>
      <c r="AH54" s="226"/>
      <c r="AI54" s="226" t="str">
        <f>"2B:shoguukaizen_code:"&amp;IF(I54="■",1,IF(L54="■",7,IF(O54="■",8,IF(R54="■",9,IF(U54="■","A",0)))))</f>
        <v>2B:shoguukaizen_code:0</v>
      </c>
    </row>
    <row r="55" spans="1:36" ht="18.75" customHeight="1" x14ac:dyDescent="0.15">
      <c r="A55" s="41"/>
      <c r="B55" s="214"/>
      <c r="C55" s="293"/>
      <c r="D55" s="6"/>
      <c r="E55" s="23"/>
      <c r="F55" s="6"/>
      <c r="G55" s="229"/>
      <c r="H55" s="414" t="s">
        <v>89</v>
      </c>
      <c r="I55" s="284" t="s">
        <v>184</v>
      </c>
      <c r="J55" s="22" t="s">
        <v>153</v>
      </c>
      <c r="K55" s="320"/>
      <c r="L55" s="218"/>
      <c r="M55" s="227" t="s">
        <v>184</v>
      </c>
      <c r="N55" s="22" t="s">
        <v>157</v>
      </c>
      <c r="O55" s="7"/>
      <c r="P55" s="7"/>
      <c r="Q55" s="227" t="s">
        <v>184</v>
      </c>
      <c r="R55" s="22" t="s">
        <v>158</v>
      </c>
      <c r="S55" s="7"/>
      <c r="T55" s="7"/>
      <c r="U55" s="227" t="s">
        <v>184</v>
      </c>
      <c r="V55" s="22" t="s">
        <v>159</v>
      </c>
      <c r="W55" s="7"/>
      <c r="X55" s="4"/>
      <c r="Y55" s="227" t="s">
        <v>184</v>
      </c>
      <c r="Z55" s="22" t="s">
        <v>141</v>
      </c>
      <c r="AA55" s="22"/>
      <c r="AB55" s="302"/>
      <c r="AC55" s="385"/>
      <c r="AD55" s="386"/>
      <c r="AE55" s="386"/>
      <c r="AF55" s="387"/>
      <c r="AG55" s="226" t="str">
        <f>"ser_code = '" &amp; IF(A66="■","2B","") &amp; "'"</f>
        <v>ser_code = ''</v>
      </c>
      <c r="AH55" s="226" t="str">
        <f>"2B:jininkbn_code:"&amp;IF(F65="■",1,IF(F66="■",2,IF(F67="■",3,0)))</f>
        <v>2B:jininkbn_code:0</v>
      </c>
      <c r="AI55" s="226" t="str">
        <f>"2B:yakan_kinmu_code:" &amp; IF(I55="■",1,IF(M55="■",2,IF(Q55="■",3,IF(U55="■",7,IF(I56="■",5,IF(M56="■",6,0))))))</f>
        <v>2B:yakan_kinmu_code:0</v>
      </c>
      <c r="AJ55" s="226" t="str">
        <f>"2B:field203:" &amp; IF(Y55="■",1,IF(Y56="■",2,0))</f>
        <v>2B:field203:0</v>
      </c>
    </row>
    <row r="56" spans="1:36" ht="18.75" customHeight="1" x14ac:dyDescent="0.15">
      <c r="A56" s="237"/>
      <c r="B56" s="238"/>
      <c r="C56" s="239"/>
      <c r="D56" s="252"/>
      <c r="E56" s="241"/>
      <c r="F56" s="252"/>
      <c r="G56" s="240"/>
      <c r="H56" s="415"/>
      <c r="I56" s="268" t="s">
        <v>184</v>
      </c>
      <c r="J56" s="244" t="s">
        <v>160</v>
      </c>
      <c r="K56" s="245"/>
      <c r="L56" s="246"/>
      <c r="M56" s="247" t="s">
        <v>184</v>
      </c>
      <c r="N56" s="244" t="s">
        <v>154</v>
      </c>
      <c r="O56" s="316"/>
      <c r="P56" s="316"/>
      <c r="Q56" s="325"/>
      <c r="R56" s="316"/>
      <c r="S56" s="316"/>
      <c r="T56" s="316"/>
      <c r="U56" s="316"/>
      <c r="V56" s="316"/>
      <c r="W56" s="316"/>
      <c r="X56" s="317"/>
      <c r="Y56" s="250" t="s">
        <v>184</v>
      </c>
      <c r="Z56" s="2" t="s">
        <v>145</v>
      </c>
      <c r="AA56" s="262"/>
      <c r="AB56" s="251"/>
      <c r="AC56" s="388"/>
      <c r="AD56" s="389"/>
      <c r="AE56" s="389"/>
      <c r="AF56" s="390"/>
      <c r="AG56" s="226" t="str">
        <f>"2B:sisetukbn_code:"&amp;IF(D66="■","2",0)</f>
        <v>2B:sisetukbn_code:0</v>
      </c>
      <c r="AH56" s="226"/>
      <c r="AI56" s="226"/>
      <c r="AJ56" s="226"/>
    </row>
    <row r="57" spans="1:36" ht="18.75" customHeight="1" x14ac:dyDescent="0.15">
      <c r="A57" s="237"/>
      <c r="B57" s="238"/>
      <c r="C57" s="239"/>
      <c r="D57" s="252"/>
      <c r="E57" s="241"/>
      <c r="F57" s="252"/>
      <c r="G57" s="240"/>
      <c r="H57" s="416" t="s">
        <v>87</v>
      </c>
      <c r="I57" s="284" t="s">
        <v>184</v>
      </c>
      <c r="J57" s="286" t="s">
        <v>142</v>
      </c>
      <c r="K57" s="286"/>
      <c r="L57" s="321"/>
      <c r="M57" s="285" t="s">
        <v>184</v>
      </c>
      <c r="N57" s="286" t="s">
        <v>152</v>
      </c>
      <c r="O57" s="286"/>
      <c r="P57" s="321"/>
      <c r="Q57" s="285" t="s">
        <v>184</v>
      </c>
      <c r="R57" s="322" t="s">
        <v>173</v>
      </c>
      <c r="S57" s="322"/>
      <c r="T57" s="322"/>
      <c r="U57" s="314"/>
      <c r="V57" s="321"/>
      <c r="W57" s="322"/>
      <c r="X57" s="315"/>
      <c r="Y57" s="267"/>
      <c r="Z57" s="262"/>
      <c r="AA57" s="262"/>
      <c r="AB57" s="251"/>
      <c r="AC57" s="388"/>
      <c r="AD57" s="389"/>
      <c r="AE57" s="389"/>
      <c r="AF57" s="390"/>
      <c r="AG57" s="226"/>
      <c r="AH57" s="226"/>
      <c r="AI57" s="226" t="str">
        <f>"2B:"&amp;IF(AND(I57="□",M57="□",Q57="□",I58="□",M58="□"),"ketu_doctor_code:0",IF(I57="■","ketu_doctor_code:1:field197:1:ketu_kangos_code:1:ketu_kshoku_code:1",IF(M57="■","ketu_doctor_code:2","ketu_doctor_code:1")
&amp;IF(Q57="■",":field197:2",":field197:1")
&amp;IF(I58="■",":ketu_kangos_code:2",":ketu_kangos_code:1")
&amp;IF(M58="■",":ketu_kshoku_code:2",":ketu_kshoku_code:1")))</f>
        <v>2B:ketu_doctor_code:0</v>
      </c>
      <c r="AJ57" s="226"/>
    </row>
    <row r="58" spans="1:36" ht="18.75" customHeight="1" x14ac:dyDescent="0.15">
      <c r="A58" s="237"/>
      <c r="B58" s="238"/>
      <c r="C58" s="239"/>
      <c r="D58" s="252"/>
      <c r="E58" s="241"/>
      <c r="F58" s="252"/>
      <c r="G58" s="240"/>
      <c r="H58" s="415"/>
      <c r="I58" s="268" t="s">
        <v>184</v>
      </c>
      <c r="J58" s="316" t="s">
        <v>174</v>
      </c>
      <c r="K58" s="316"/>
      <c r="L58" s="316"/>
      <c r="M58" s="247" t="s">
        <v>184</v>
      </c>
      <c r="N58" s="316" t="s">
        <v>175</v>
      </c>
      <c r="O58" s="246"/>
      <c r="P58" s="316"/>
      <c r="Q58" s="316"/>
      <c r="R58" s="246"/>
      <c r="S58" s="316"/>
      <c r="T58" s="316"/>
      <c r="U58" s="248"/>
      <c r="V58" s="246"/>
      <c r="W58" s="316"/>
      <c r="X58" s="249"/>
      <c r="Y58" s="267"/>
      <c r="Z58" s="262"/>
      <c r="AA58" s="262"/>
      <c r="AB58" s="251"/>
      <c r="AC58" s="388"/>
      <c r="AD58" s="389"/>
      <c r="AE58" s="389"/>
      <c r="AF58" s="390"/>
      <c r="AG58" s="226"/>
      <c r="AH58" s="226"/>
      <c r="AI58" s="226"/>
      <c r="AJ58" s="226"/>
    </row>
    <row r="59" spans="1:36" s="226" customFormat="1" ht="18.75" customHeight="1" x14ac:dyDescent="0.15">
      <c r="A59" s="237"/>
      <c r="B59" s="238"/>
      <c r="C59" s="311"/>
      <c r="D59" s="312"/>
      <c r="E59" s="240"/>
      <c r="F59" s="219"/>
      <c r="G59" s="241"/>
      <c r="H59" s="270" t="s">
        <v>92</v>
      </c>
      <c r="I59" s="254" t="s">
        <v>184</v>
      </c>
      <c r="J59" s="255" t="s">
        <v>185</v>
      </c>
      <c r="K59" s="256"/>
      <c r="L59" s="257"/>
      <c r="M59" s="258" t="s">
        <v>184</v>
      </c>
      <c r="N59" s="255" t="s">
        <v>186</v>
      </c>
      <c r="O59" s="256"/>
      <c r="P59" s="256"/>
      <c r="Q59" s="256"/>
      <c r="R59" s="256"/>
      <c r="S59" s="256"/>
      <c r="T59" s="256"/>
      <c r="U59" s="256"/>
      <c r="V59" s="256"/>
      <c r="W59" s="256"/>
      <c r="X59" s="269"/>
      <c r="Y59" s="267"/>
      <c r="Z59" s="262"/>
      <c r="AA59" s="262"/>
      <c r="AB59" s="251"/>
      <c r="AC59" s="388"/>
      <c r="AD59" s="389"/>
      <c r="AE59" s="389"/>
      <c r="AF59" s="390"/>
      <c r="AI59" s="226" t="str">
        <f>"2B:sintaikousoku_code:" &amp; IF(I59="■",1,IF(M59="■",2,0))</f>
        <v>2B:sintaikousoku_code:0</v>
      </c>
    </row>
    <row r="60" spans="1:36" ht="19.5" customHeight="1" x14ac:dyDescent="0.15">
      <c r="A60" s="237"/>
      <c r="B60" s="238"/>
      <c r="C60" s="239"/>
      <c r="D60" s="252"/>
      <c r="E60" s="240"/>
      <c r="F60" s="219"/>
      <c r="G60" s="241"/>
      <c r="H60" s="253" t="s">
        <v>192</v>
      </c>
      <c r="I60" s="284" t="s">
        <v>184</v>
      </c>
      <c r="J60" s="255" t="s">
        <v>185</v>
      </c>
      <c r="K60" s="256"/>
      <c r="L60" s="257"/>
      <c r="M60" s="258" t="s">
        <v>184</v>
      </c>
      <c r="N60" s="255" t="s">
        <v>193</v>
      </c>
      <c r="O60" s="255"/>
      <c r="P60" s="255"/>
      <c r="Q60" s="260"/>
      <c r="R60" s="260"/>
      <c r="S60" s="260"/>
      <c r="T60" s="260"/>
      <c r="U60" s="260"/>
      <c r="V60" s="260"/>
      <c r="W60" s="260"/>
      <c r="X60" s="261"/>
      <c r="Y60" s="262"/>
      <c r="Z60" s="262"/>
      <c r="AA60" s="262"/>
      <c r="AB60" s="251"/>
      <c r="AC60" s="388"/>
      <c r="AD60" s="389"/>
      <c r="AE60" s="389"/>
      <c r="AF60" s="390"/>
      <c r="AI60" s="226" t="str">
        <f>"2B:field223:" &amp; IF(I60="■",1,IF(M60="■",2,0))</f>
        <v>2B:field223:0</v>
      </c>
    </row>
    <row r="61" spans="1:36" ht="19.5" customHeight="1" x14ac:dyDescent="0.15">
      <c r="A61" s="237"/>
      <c r="B61" s="238"/>
      <c r="C61" s="239"/>
      <c r="D61" s="252"/>
      <c r="E61" s="240"/>
      <c r="F61" s="219"/>
      <c r="G61" s="241"/>
      <c r="H61" s="253" t="s">
        <v>201</v>
      </c>
      <c r="I61" s="284" t="s">
        <v>184</v>
      </c>
      <c r="J61" s="255" t="s">
        <v>185</v>
      </c>
      <c r="K61" s="256"/>
      <c r="L61" s="257"/>
      <c r="M61" s="258" t="s">
        <v>184</v>
      </c>
      <c r="N61" s="255" t="s">
        <v>193</v>
      </c>
      <c r="O61" s="255"/>
      <c r="P61" s="255"/>
      <c r="Q61" s="260"/>
      <c r="R61" s="260"/>
      <c r="S61" s="260"/>
      <c r="T61" s="260"/>
      <c r="U61" s="260"/>
      <c r="V61" s="260"/>
      <c r="W61" s="260"/>
      <c r="X61" s="261"/>
      <c r="Y61" s="262"/>
      <c r="Z61" s="262"/>
      <c r="AA61" s="262"/>
      <c r="AB61" s="251"/>
      <c r="AC61" s="388"/>
      <c r="AD61" s="389"/>
      <c r="AE61" s="389"/>
      <c r="AF61" s="390"/>
      <c r="AI61" s="226" t="str">
        <f>"2B:field232:" &amp; IF(I61="■",1,IF(M61="■",2,0))</f>
        <v>2B:field232:0</v>
      </c>
    </row>
    <row r="62" spans="1:36" ht="18.75" customHeight="1" x14ac:dyDescent="0.15">
      <c r="A62" s="237"/>
      <c r="B62" s="238"/>
      <c r="C62" s="239"/>
      <c r="D62" s="252"/>
      <c r="E62" s="241"/>
      <c r="F62" s="252"/>
      <c r="G62" s="240"/>
      <c r="H62" s="270" t="s">
        <v>112</v>
      </c>
      <c r="I62" s="284" t="s">
        <v>184</v>
      </c>
      <c r="J62" s="255" t="s">
        <v>153</v>
      </c>
      <c r="K62" s="256"/>
      <c r="L62" s="257"/>
      <c r="M62" s="258" t="s">
        <v>184</v>
      </c>
      <c r="N62" s="255" t="s">
        <v>161</v>
      </c>
      <c r="O62" s="260"/>
      <c r="P62" s="260"/>
      <c r="Q62" s="260"/>
      <c r="R62" s="260"/>
      <c r="S62" s="260"/>
      <c r="T62" s="260"/>
      <c r="U62" s="260"/>
      <c r="V62" s="260"/>
      <c r="W62" s="260"/>
      <c r="X62" s="261"/>
      <c r="Y62" s="267"/>
      <c r="Z62" s="262"/>
      <c r="AA62" s="262"/>
      <c r="AB62" s="251"/>
      <c r="AC62" s="388"/>
      <c r="AD62" s="389"/>
      <c r="AE62" s="389"/>
      <c r="AF62" s="390"/>
      <c r="AI62" s="226" t="str">
        <f>"2B:field190:" &amp; IF(I62="■",1,IF(M62="■",2,0))</f>
        <v>2B:field190:0</v>
      </c>
    </row>
    <row r="63" spans="1:36" ht="18.75" customHeight="1" x14ac:dyDescent="0.15">
      <c r="A63" s="237"/>
      <c r="B63" s="238"/>
      <c r="C63" s="239"/>
      <c r="D63" s="252"/>
      <c r="E63" s="241"/>
      <c r="F63" s="252"/>
      <c r="G63" s="240"/>
      <c r="H63" s="270" t="s">
        <v>113</v>
      </c>
      <c r="I63" s="284" t="s">
        <v>184</v>
      </c>
      <c r="J63" s="255" t="s">
        <v>153</v>
      </c>
      <c r="K63" s="256"/>
      <c r="L63" s="257"/>
      <c r="M63" s="258" t="s">
        <v>184</v>
      </c>
      <c r="N63" s="255" t="s">
        <v>161</v>
      </c>
      <c r="O63" s="260"/>
      <c r="P63" s="260"/>
      <c r="Q63" s="260"/>
      <c r="R63" s="260"/>
      <c r="S63" s="260"/>
      <c r="T63" s="260"/>
      <c r="U63" s="260"/>
      <c r="V63" s="260"/>
      <c r="W63" s="260"/>
      <c r="X63" s="261"/>
      <c r="Y63" s="267"/>
      <c r="Z63" s="262"/>
      <c r="AA63" s="262"/>
      <c r="AB63" s="251"/>
      <c r="AC63" s="388"/>
      <c r="AD63" s="389"/>
      <c r="AE63" s="389"/>
      <c r="AF63" s="390"/>
      <c r="AI63" s="226" t="str">
        <f>"2B:field191:" &amp; IF(I63="■",1,IF(M63="■",2,0))</f>
        <v>2B:field191:0</v>
      </c>
    </row>
    <row r="64" spans="1:36" ht="19.5" customHeight="1" x14ac:dyDescent="0.15">
      <c r="A64" s="237"/>
      <c r="B64" s="238"/>
      <c r="C64" s="239"/>
      <c r="D64" s="252"/>
      <c r="E64" s="240"/>
      <c r="F64" s="219"/>
      <c r="G64" s="241"/>
      <c r="H64" s="253" t="s">
        <v>222</v>
      </c>
      <c r="I64" s="254" t="s">
        <v>184</v>
      </c>
      <c r="J64" s="244" t="s">
        <v>220</v>
      </c>
      <c r="K64" s="245"/>
      <c r="L64" s="246"/>
      <c r="M64" s="258" t="s">
        <v>184</v>
      </c>
      <c r="N64" s="244" t="s">
        <v>221</v>
      </c>
      <c r="O64" s="318"/>
      <c r="P64" s="244"/>
      <c r="Q64" s="248"/>
      <c r="R64" s="248"/>
      <c r="S64" s="248"/>
      <c r="T64" s="248"/>
      <c r="U64" s="248"/>
      <c r="V64" s="248"/>
      <c r="W64" s="248"/>
      <c r="X64" s="249"/>
      <c r="Y64" s="319"/>
      <c r="Z64" s="2"/>
      <c r="AA64" s="262"/>
      <c r="AB64" s="251"/>
      <c r="AC64" s="388"/>
      <c r="AD64" s="389"/>
      <c r="AE64" s="389"/>
      <c r="AF64" s="390"/>
      <c r="AI64" s="226" t="str">
        <f>"2B:field242:" &amp; IF(I64="■",1,IF(M64="■",2,0))</f>
        <v>2B:field242:0</v>
      </c>
    </row>
    <row r="65" spans="1:36" ht="18.75" customHeight="1" x14ac:dyDescent="0.15">
      <c r="A65" s="237"/>
      <c r="B65" s="238"/>
      <c r="C65" s="239"/>
      <c r="D65" s="252"/>
      <c r="E65" s="241"/>
      <c r="F65" s="268" t="s">
        <v>184</v>
      </c>
      <c r="G65" s="240" t="s">
        <v>215</v>
      </c>
      <c r="H65" s="270" t="s">
        <v>210</v>
      </c>
      <c r="I65" s="284" t="s">
        <v>184</v>
      </c>
      <c r="J65" s="255" t="s">
        <v>142</v>
      </c>
      <c r="K65" s="256"/>
      <c r="L65" s="258" t="s">
        <v>184</v>
      </c>
      <c r="M65" s="255" t="s">
        <v>150</v>
      </c>
      <c r="N65" s="260"/>
      <c r="O65" s="260"/>
      <c r="P65" s="260"/>
      <c r="Q65" s="260"/>
      <c r="R65" s="260"/>
      <c r="S65" s="260"/>
      <c r="T65" s="260"/>
      <c r="U65" s="260"/>
      <c r="V65" s="260"/>
      <c r="W65" s="260"/>
      <c r="X65" s="261"/>
      <c r="Y65" s="267"/>
      <c r="Z65" s="262"/>
      <c r="AA65" s="262"/>
      <c r="AB65" s="251"/>
      <c r="AC65" s="388"/>
      <c r="AD65" s="389"/>
      <c r="AE65" s="389"/>
      <c r="AF65" s="390"/>
      <c r="AI65" s="226" t="str">
        <f>"2B:jyakuninti_uke_code:" &amp; IF(I65="■",1,IF(L65="■",2,0))</f>
        <v>2B:jyakuninti_uke_code:0</v>
      </c>
    </row>
    <row r="66" spans="1:36" ht="18.75" customHeight="1" x14ac:dyDescent="0.15">
      <c r="A66" s="268" t="s">
        <v>184</v>
      </c>
      <c r="B66" s="238" t="s">
        <v>213</v>
      </c>
      <c r="C66" s="239" t="s">
        <v>211</v>
      </c>
      <c r="D66" s="268" t="s">
        <v>184</v>
      </c>
      <c r="E66" s="241" t="s">
        <v>216</v>
      </c>
      <c r="F66" s="268" t="s">
        <v>184</v>
      </c>
      <c r="G66" s="240" t="s">
        <v>177</v>
      </c>
      <c r="H66" s="270" t="s">
        <v>88</v>
      </c>
      <c r="I66" s="284" t="s">
        <v>184</v>
      </c>
      <c r="J66" s="255" t="s">
        <v>148</v>
      </c>
      <c r="K66" s="256"/>
      <c r="L66" s="257"/>
      <c r="M66" s="258" t="s">
        <v>184</v>
      </c>
      <c r="N66" s="255" t="s">
        <v>149</v>
      </c>
      <c r="O66" s="260"/>
      <c r="P66" s="260"/>
      <c r="Q66" s="260"/>
      <c r="R66" s="260"/>
      <c r="S66" s="260"/>
      <c r="T66" s="260"/>
      <c r="U66" s="260"/>
      <c r="V66" s="260"/>
      <c r="W66" s="260"/>
      <c r="X66" s="261"/>
      <c r="Y66" s="267"/>
      <c r="Z66" s="262"/>
      <c r="AA66" s="262"/>
      <c r="AB66" s="251"/>
      <c r="AC66" s="388"/>
      <c r="AD66" s="389"/>
      <c r="AE66" s="389"/>
      <c r="AF66" s="390"/>
      <c r="AI66" s="226" t="str">
        <f>"2B:sougei_code:" &amp; IF(I66="■",1,IF(M66="■",2,0))</f>
        <v>2B:sougei_code:0</v>
      </c>
    </row>
    <row r="67" spans="1:36" ht="19.5" customHeight="1" x14ac:dyDescent="0.15">
      <c r="A67" s="237"/>
      <c r="B67" s="238"/>
      <c r="C67" s="239"/>
      <c r="D67" s="252"/>
      <c r="E67" s="241"/>
      <c r="F67" s="268" t="s">
        <v>184</v>
      </c>
      <c r="G67" s="240" t="s">
        <v>178</v>
      </c>
      <c r="H67" s="253" t="s">
        <v>194</v>
      </c>
      <c r="I67" s="284" t="s">
        <v>184</v>
      </c>
      <c r="J67" s="255" t="s">
        <v>142</v>
      </c>
      <c r="K67" s="255"/>
      <c r="L67" s="258" t="s">
        <v>184</v>
      </c>
      <c r="M67" s="255" t="s">
        <v>150</v>
      </c>
      <c r="N67" s="255"/>
      <c r="O67" s="260"/>
      <c r="P67" s="255"/>
      <c r="Q67" s="260"/>
      <c r="R67" s="260"/>
      <c r="S67" s="260"/>
      <c r="T67" s="260"/>
      <c r="U67" s="260"/>
      <c r="V67" s="260"/>
      <c r="W67" s="260"/>
      <c r="X67" s="261"/>
      <c r="Y67" s="262"/>
      <c r="Z67" s="262"/>
      <c r="AA67" s="262"/>
      <c r="AB67" s="251"/>
      <c r="AC67" s="388"/>
      <c r="AD67" s="389"/>
      <c r="AE67" s="389"/>
      <c r="AF67" s="390"/>
      <c r="AI67" s="226" t="str">
        <f>"2B:field224:" &amp; IF(I67="■",1,IF(L67="■",2,0))</f>
        <v>2B:field224:0</v>
      </c>
    </row>
    <row r="68" spans="1:36" ht="18.75" customHeight="1" x14ac:dyDescent="0.15">
      <c r="A68" s="237"/>
      <c r="B68" s="238"/>
      <c r="C68" s="239"/>
      <c r="D68" s="252"/>
      <c r="E68" s="241"/>
      <c r="F68" s="252"/>
      <c r="G68" s="240"/>
      <c r="H68" s="270" t="s">
        <v>94</v>
      </c>
      <c r="I68" s="284" t="s">
        <v>184</v>
      </c>
      <c r="J68" s="255" t="s">
        <v>142</v>
      </c>
      <c r="K68" s="256"/>
      <c r="L68" s="258" t="s">
        <v>184</v>
      </c>
      <c r="M68" s="255" t="s">
        <v>150</v>
      </c>
      <c r="N68" s="260"/>
      <c r="O68" s="260"/>
      <c r="P68" s="260"/>
      <c r="Q68" s="260"/>
      <c r="R68" s="260"/>
      <c r="S68" s="260"/>
      <c r="T68" s="260"/>
      <c r="U68" s="260"/>
      <c r="V68" s="260"/>
      <c r="W68" s="260"/>
      <c r="X68" s="261"/>
      <c r="Y68" s="267"/>
      <c r="Z68" s="262"/>
      <c r="AA68" s="262"/>
      <c r="AB68" s="251"/>
      <c r="AC68" s="388"/>
      <c r="AD68" s="389"/>
      <c r="AE68" s="389"/>
      <c r="AF68" s="390"/>
      <c r="AI68" s="226" t="str">
        <f>"2B:ryouyoushoku_code:" &amp; IF(I68="■",1,IF(L68="■",2,0))</f>
        <v>2B:ryouyoushoku_code:0</v>
      </c>
    </row>
    <row r="69" spans="1:36" ht="18.75" customHeight="1" x14ac:dyDescent="0.15">
      <c r="A69" s="237"/>
      <c r="B69" s="238"/>
      <c r="C69" s="239"/>
      <c r="D69" s="252"/>
      <c r="E69" s="241"/>
      <c r="F69" s="252"/>
      <c r="G69" s="240"/>
      <c r="H69" s="270" t="s">
        <v>95</v>
      </c>
      <c r="I69" s="284" t="s">
        <v>184</v>
      </c>
      <c r="J69" s="255" t="s">
        <v>142</v>
      </c>
      <c r="K69" s="255"/>
      <c r="L69" s="258" t="s">
        <v>184</v>
      </c>
      <c r="M69" s="255" t="s">
        <v>143</v>
      </c>
      <c r="N69" s="255"/>
      <c r="O69" s="258" t="s">
        <v>184</v>
      </c>
      <c r="P69" s="255" t="s">
        <v>144</v>
      </c>
      <c r="Q69" s="260"/>
      <c r="R69" s="260"/>
      <c r="S69" s="260"/>
      <c r="T69" s="260"/>
      <c r="U69" s="260"/>
      <c r="V69" s="260"/>
      <c r="W69" s="260"/>
      <c r="X69" s="261"/>
      <c r="Y69" s="267"/>
      <c r="Z69" s="262"/>
      <c r="AA69" s="262"/>
      <c r="AB69" s="251"/>
      <c r="AC69" s="388"/>
      <c r="AD69" s="389"/>
      <c r="AE69" s="389"/>
      <c r="AF69" s="390"/>
      <c r="AI69" s="226" t="str">
        <f>"2B:ninti_senmoncare_code:" &amp; IF(I69="■",1,IF(O69="■",3,IF(L69="■",2,0)))</f>
        <v>2B:ninti_senmoncare_code:0</v>
      </c>
    </row>
    <row r="70" spans="1:36" ht="18.75" customHeight="1" x14ac:dyDescent="0.15">
      <c r="A70" s="237"/>
      <c r="B70" s="238"/>
      <c r="C70" s="239"/>
      <c r="D70" s="252"/>
      <c r="E70" s="241"/>
      <c r="F70" s="252"/>
      <c r="G70" s="240"/>
      <c r="H70" s="416" t="s">
        <v>108</v>
      </c>
      <c r="I70" s="284" t="s">
        <v>184</v>
      </c>
      <c r="J70" s="286" t="s">
        <v>155</v>
      </c>
      <c r="K70" s="286"/>
      <c r="L70" s="314"/>
      <c r="M70" s="314"/>
      <c r="N70" s="314"/>
      <c r="O70" s="314"/>
      <c r="P70" s="285" t="s">
        <v>184</v>
      </c>
      <c r="Q70" s="286" t="s">
        <v>156</v>
      </c>
      <c r="R70" s="314"/>
      <c r="S70" s="314"/>
      <c r="T70" s="314"/>
      <c r="U70" s="314"/>
      <c r="V70" s="314"/>
      <c r="W70" s="314"/>
      <c r="X70" s="315"/>
      <c r="Y70" s="267"/>
      <c r="Z70" s="262"/>
      <c r="AA70" s="262"/>
      <c r="AB70" s="251"/>
      <c r="AC70" s="388"/>
      <c r="AD70" s="389"/>
      <c r="AE70" s="389"/>
      <c r="AF70" s="390"/>
      <c r="AI70" s="226" t="str">
        <f>"2B:" &amp; IF(AND(I70="□",P70="□",I71="□"),"tokusin_jyusho_code:0:tokusin_yakuzai_code:0:shuudan_comu_code:0",IF(I70="■","tokusin_jyusho_code:2","tokusin_jyusho_code:1")
&amp;IF(P70="■",":tokusin_yakuzai_code:2",":tokusin_yakuzai_code:1")
&amp;IF(I71="■",":shuudan_comu_code:2",":shuudan_comu_code:1"))</f>
        <v>2B:tokusin_jyusho_code:0:tokusin_yakuzai_code:0:shuudan_comu_code:0</v>
      </c>
    </row>
    <row r="71" spans="1:36" ht="18.75" customHeight="1" x14ac:dyDescent="0.15">
      <c r="A71" s="237"/>
      <c r="B71" s="238"/>
      <c r="C71" s="239"/>
      <c r="D71" s="252"/>
      <c r="E71" s="241"/>
      <c r="F71" s="252"/>
      <c r="G71" s="240"/>
      <c r="H71" s="415"/>
      <c r="I71" s="268" t="s">
        <v>184</v>
      </c>
      <c r="J71" s="244" t="s">
        <v>162</v>
      </c>
      <c r="K71" s="248"/>
      <c r="L71" s="248"/>
      <c r="M71" s="248"/>
      <c r="N71" s="248"/>
      <c r="O71" s="248"/>
      <c r="P71" s="248"/>
      <c r="Q71" s="316"/>
      <c r="R71" s="248"/>
      <c r="S71" s="248"/>
      <c r="T71" s="248"/>
      <c r="U71" s="248"/>
      <c r="V71" s="248"/>
      <c r="W71" s="248"/>
      <c r="X71" s="249"/>
      <c r="Y71" s="267"/>
      <c r="Z71" s="262"/>
      <c r="AA71" s="262"/>
      <c r="AB71" s="251"/>
      <c r="AC71" s="388"/>
      <c r="AD71" s="389"/>
      <c r="AE71" s="389"/>
      <c r="AF71" s="390"/>
      <c r="AI71" s="226"/>
    </row>
    <row r="72" spans="1:36" ht="18.75" customHeight="1" x14ac:dyDescent="0.15">
      <c r="A72" s="237"/>
      <c r="B72" s="238"/>
      <c r="C72" s="239"/>
      <c r="D72" s="252"/>
      <c r="E72" s="241"/>
      <c r="F72" s="252"/>
      <c r="G72" s="240"/>
      <c r="H72" s="416" t="s">
        <v>91</v>
      </c>
      <c r="I72" s="284" t="s">
        <v>184</v>
      </c>
      <c r="J72" s="286" t="s">
        <v>163</v>
      </c>
      <c r="K72" s="264"/>
      <c r="L72" s="321"/>
      <c r="M72" s="285" t="s">
        <v>184</v>
      </c>
      <c r="N72" s="286" t="s">
        <v>164</v>
      </c>
      <c r="O72" s="314"/>
      <c r="P72" s="314"/>
      <c r="Q72" s="285" t="s">
        <v>184</v>
      </c>
      <c r="R72" s="286" t="s">
        <v>165</v>
      </c>
      <c r="S72" s="314"/>
      <c r="T72" s="314"/>
      <c r="U72" s="314"/>
      <c r="V72" s="314"/>
      <c r="W72" s="314"/>
      <c r="X72" s="315"/>
      <c r="Y72" s="267"/>
      <c r="Z72" s="262"/>
      <c r="AA72" s="262"/>
      <c r="AB72" s="251"/>
      <c r="AC72" s="388"/>
      <c r="AD72" s="389"/>
      <c r="AE72" s="389"/>
      <c r="AF72" s="390"/>
      <c r="AI72" s="226" t="str">
        <f>"2B:"&amp;IF(AND(I72="□",M72="□",Q72="□",I73="□",Q73="□"),"koriha_rryoho1_code:0:koriha_sryoho_code:0:koriha_gengo_code:0:riha_seisin_code:0:koriha_other_code:0",IF(I72="■","koriha_rryoho1_code:2","koriha_rryoho1_code:1")
&amp;IF(M72="■",":koriha_sryoho_code:2",":koriha_sryoho_code:1")
&amp;IF(Q72="■",":koriha_gengo_code:2",":koriha_gengo_code:1")
&amp;IF(I73="■",":riha_seisin_code:2",":riha_seisin_code:1")
&amp;IF(Q73="■",":koriha_other_code:2",":koriha_other_code:1"))</f>
        <v>2B:koriha_rryoho1_code:0:koriha_sryoho_code:0:koriha_gengo_code:0:riha_seisin_code:0:koriha_other_code:0</v>
      </c>
    </row>
    <row r="73" spans="1:36" ht="18.75" customHeight="1" x14ac:dyDescent="0.15">
      <c r="A73" s="237"/>
      <c r="B73" s="238"/>
      <c r="C73" s="239"/>
      <c r="D73" s="252"/>
      <c r="E73" s="241"/>
      <c r="F73" s="252"/>
      <c r="G73" s="240"/>
      <c r="H73" s="415"/>
      <c r="I73" s="268" t="s">
        <v>184</v>
      </c>
      <c r="J73" s="244" t="s">
        <v>166</v>
      </c>
      <c r="K73" s="248"/>
      <c r="L73" s="248"/>
      <c r="M73" s="248"/>
      <c r="N73" s="248"/>
      <c r="O73" s="248"/>
      <c r="P73" s="248"/>
      <c r="Q73" s="247" t="s">
        <v>184</v>
      </c>
      <c r="R73" s="244" t="s">
        <v>167</v>
      </c>
      <c r="S73" s="316"/>
      <c r="T73" s="248"/>
      <c r="U73" s="248"/>
      <c r="V73" s="248"/>
      <c r="W73" s="248"/>
      <c r="X73" s="249"/>
      <c r="Y73" s="267"/>
      <c r="Z73" s="262"/>
      <c r="AA73" s="262"/>
      <c r="AB73" s="251"/>
      <c r="AC73" s="388"/>
      <c r="AD73" s="389"/>
      <c r="AE73" s="389"/>
      <c r="AF73" s="390"/>
      <c r="AI73" s="226"/>
    </row>
    <row r="74" spans="1:36" ht="18.75" customHeight="1" x14ac:dyDescent="0.15">
      <c r="A74" s="237"/>
      <c r="B74" s="238"/>
      <c r="C74" s="239"/>
      <c r="D74" s="252"/>
      <c r="E74" s="241"/>
      <c r="F74" s="252"/>
      <c r="G74" s="240"/>
      <c r="H74" s="313" t="s">
        <v>199</v>
      </c>
      <c r="I74" s="284" t="s">
        <v>184</v>
      </c>
      <c r="J74" s="255" t="s">
        <v>142</v>
      </c>
      <c r="K74" s="255"/>
      <c r="L74" s="258" t="s">
        <v>184</v>
      </c>
      <c r="M74" s="255" t="s">
        <v>143</v>
      </c>
      <c r="N74" s="255"/>
      <c r="O74" s="258" t="s">
        <v>184</v>
      </c>
      <c r="P74" s="255" t="s">
        <v>144</v>
      </c>
      <c r="Q74" s="260"/>
      <c r="R74" s="260"/>
      <c r="S74" s="260"/>
      <c r="T74" s="260"/>
      <c r="U74" s="314"/>
      <c r="V74" s="314"/>
      <c r="W74" s="314"/>
      <c r="X74" s="315"/>
      <c r="Y74" s="267"/>
      <c r="Z74" s="262"/>
      <c r="AA74" s="262"/>
      <c r="AB74" s="251"/>
      <c r="AC74" s="388"/>
      <c r="AD74" s="389"/>
      <c r="AE74" s="389"/>
      <c r="AF74" s="390"/>
      <c r="AI74" s="226" t="str">
        <f>"2B:field225:" &amp; IF(I74="■",1,IF(L74="■",2,IF(O74="■",3,0)))</f>
        <v>2B:field225:0</v>
      </c>
    </row>
    <row r="75" spans="1:36" ht="18.75" customHeight="1" x14ac:dyDescent="0.15">
      <c r="A75" s="237"/>
      <c r="B75" s="238"/>
      <c r="C75" s="239"/>
      <c r="D75" s="252"/>
      <c r="E75" s="241"/>
      <c r="F75" s="252"/>
      <c r="G75" s="240"/>
      <c r="H75" s="270" t="s">
        <v>96</v>
      </c>
      <c r="I75" s="284" t="s">
        <v>184</v>
      </c>
      <c r="J75" s="255" t="s">
        <v>142</v>
      </c>
      <c r="K75" s="255"/>
      <c r="L75" s="258" t="s">
        <v>184</v>
      </c>
      <c r="M75" s="255" t="s">
        <v>146</v>
      </c>
      <c r="N75" s="255"/>
      <c r="O75" s="258" t="s">
        <v>184</v>
      </c>
      <c r="P75" s="255" t="s">
        <v>147</v>
      </c>
      <c r="Q75" s="288"/>
      <c r="R75" s="258" t="s">
        <v>184</v>
      </c>
      <c r="S75" s="255" t="s">
        <v>151</v>
      </c>
      <c r="T75" s="288"/>
      <c r="U75" s="288"/>
      <c r="V75" s="288"/>
      <c r="W75" s="288"/>
      <c r="X75" s="289"/>
      <c r="Y75" s="267"/>
      <c r="Z75" s="262"/>
      <c r="AA75" s="262"/>
      <c r="AB75" s="251"/>
      <c r="AC75" s="388"/>
      <c r="AD75" s="389"/>
      <c r="AE75" s="389"/>
      <c r="AF75" s="390"/>
      <c r="AI75" s="226" t="str">
        <f>"2B:serteikyo_kyoka_code:" &amp; IF(I75="■",1,IF(L75="■",6,IF(O75="■",5,IF(R75="■",7,0))))</f>
        <v>2B:serteikyo_kyoka_code:0</v>
      </c>
    </row>
    <row r="76" spans="1:36" ht="18.75" customHeight="1" x14ac:dyDescent="0.15">
      <c r="A76" s="237"/>
      <c r="B76" s="238"/>
      <c r="C76" s="239"/>
      <c r="D76" s="252"/>
      <c r="E76" s="241"/>
      <c r="F76" s="252"/>
      <c r="G76" s="240"/>
      <c r="H76" s="402" t="s">
        <v>209</v>
      </c>
      <c r="I76" s="417" t="s">
        <v>184</v>
      </c>
      <c r="J76" s="418" t="s">
        <v>142</v>
      </c>
      <c r="K76" s="418"/>
      <c r="L76" s="417" t="s">
        <v>184</v>
      </c>
      <c r="M76" s="418" t="s">
        <v>150</v>
      </c>
      <c r="N76" s="418"/>
      <c r="O76" s="322"/>
      <c r="P76" s="322"/>
      <c r="Q76" s="322"/>
      <c r="R76" s="322"/>
      <c r="S76" s="322"/>
      <c r="T76" s="322"/>
      <c r="U76" s="322"/>
      <c r="V76" s="322"/>
      <c r="W76" s="322"/>
      <c r="X76" s="323"/>
      <c r="Y76" s="267"/>
      <c r="Z76" s="262"/>
      <c r="AA76" s="262"/>
      <c r="AB76" s="251"/>
      <c r="AC76" s="388"/>
      <c r="AD76" s="389"/>
      <c r="AE76" s="389"/>
      <c r="AF76" s="390"/>
      <c r="AI76" s="226" t="str">
        <f>"2B:field221:" &amp; IF(I76="■",1,IF(L76="■",2,0))</f>
        <v>2B:field221:0</v>
      </c>
    </row>
    <row r="77" spans="1:36" ht="18.75" customHeight="1" x14ac:dyDescent="0.15">
      <c r="A77" s="237"/>
      <c r="B77" s="238"/>
      <c r="C77" s="239"/>
      <c r="D77" s="252"/>
      <c r="E77" s="241"/>
      <c r="F77" s="252"/>
      <c r="G77" s="240"/>
      <c r="H77" s="382"/>
      <c r="I77" s="417"/>
      <c r="J77" s="418"/>
      <c r="K77" s="418"/>
      <c r="L77" s="417"/>
      <c r="M77" s="418"/>
      <c r="N77" s="418"/>
      <c r="O77" s="316"/>
      <c r="P77" s="316"/>
      <c r="Q77" s="316"/>
      <c r="R77" s="316"/>
      <c r="S77" s="316"/>
      <c r="T77" s="316"/>
      <c r="U77" s="316"/>
      <c r="V77" s="316"/>
      <c r="W77" s="316"/>
      <c r="X77" s="317"/>
      <c r="Y77" s="267"/>
      <c r="Z77" s="262"/>
      <c r="AA77" s="262"/>
      <c r="AB77" s="251"/>
      <c r="AC77" s="388"/>
      <c r="AD77" s="389"/>
      <c r="AE77" s="389"/>
      <c r="AF77" s="390"/>
    </row>
    <row r="78" spans="1:36" ht="18.75" customHeight="1" x14ac:dyDescent="0.15">
      <c r="A78" s="271"/>
      <c r="B78" s="216"/>
      <c r="C78" s="272"/>
      <c r="D78" s="231"/>
      <c r="E78" s="236"/>
      <c r="F78" s="220"/>
      <c r="G78" s="273"/>
      <c r="H78" s="274" t="s">
        <v>208</v>
      </c>
      <c r="I78" s="275" t="s">
        <v>184</v>
      </c>
      <c r="J78" s="43" t="s">
        <v>142</v>
      </c>
      <c r="K78" s="43"/>
      <c r="L78" s="276" t="s">
        <v>184</v>
      </c>
      <c r="M78" s="43" t="s">
        <v>195</v>
      </c>
      <c r="N78" s="277"/>
      <c r="O78" s="276" t="s">
        <v>184</v>
      </c>
      <c r="P78" s="233" t="s">
        <v>196</v>
      </c>
      <c r="Q78" s="278"/>
      <c r="R78" s="276" t="s">
        <v>184</v>
      </c>
      <c r="S78" s="43" t="s">
        <v>197</v>
      </c>
      <c r="T78" s="278"/>
      <c r="U78" s="276" t="s">
        <v>184</v>
      </c>
      <c r="V78" s="43" t="s">
        <v>198</v>
      </c>
      <c r="W78" s="279"/>
      <c r="X78" s="280"/>
      <c r="Y78" s="281"/>
      <c r="Z78" s="281"/>
      <c r="AA78" s="281"/>
      <c r="AB78" s="282"/>
      <c r="AC78" s="391"/>
      <c r="AD78" s="392"/>
      <c r="AE78" s="392"/>
      <c r="AF78" s="393"/>
      <c r="AG78" s="226"/>
      <c r="AH78" s="226"/>
      <c r="AI78" s="226" t="str">
        <f>"2B:shoguukaizen_code:"&amp;IF(I78="■",1,IF(L78="■",7,IF(O78="■",8,IF(R78="■",9,IF(U78="■","A",0)))))</f>
        <v>2B:shoguukaizen_code:0</v>
      </c>
    </row>
    <row r="79" spans="1:36" ht="18.75" customHeight="1" x14ac:dyDescent="0.15">
      <c r="A79" s="41"/>
      <c r="B79" s="214"/>
      <c r="C79" s="293"/>
      <c r="D79" s="6"/>
      <c r="E79" s="23"/>
      <c r="F79" s="6"/>
      <c r="G79" s="229"/>
      <c r="H79" s="414" t="s">
        <v>89</v>
      </c>
      <c r="I79" s="297" t="s">
        <v>184</v>
      </c>
      <c r="J79" s="22" t="s">
        <v>153</v>
      </c>
      <c r="K79" s="320"/>
      <c r="L79" s="218"/>
      <c r="M79" s="227" t="s">
        <v>184</v>
      </c>
      <c r="N79" s="22" t="s">
        <v>157</v>
      </c>
      <c r="O79" s="7"/>
      <c r="P79" s="7"/>
      <c r="Q79" s="227" t="s">
        <v>184</v>
      </c>
      <c r="R79" s="22" t="s">
        <v>158</v>
      </c>
      <c r="S79" s="7"/>
      <c r="T79" s="7"/>
      <c r="U79" s="227" t="s">
        <v>184</v>
      </c>
      <c r="V79" s="22" t="s">
        <v>159</v>
      </c>
      <c r="W79" s="7"/>
      <c r="X79" s="4"/>
      <c r="Y79" s="297" t="s">
        <v>184</v>
      </c>
      <c r="Z79" s="22" t="s">
        <v>141</v>
      </c>
      <c r="AA79" s="22"/>
      <c r="AB79" s="302"/>
      <c r="AC79" s="385"/>
      <c r="AD79" s="386"/>
      <c r="AE79" s="386"/>
      <c r="AF79" s="387"/>
      <c r="AG79" s="226" t="str">
        <f>"ser_code = '" &amp; IF(A88="■","2B","") &amp; "'"</f>
        <v>ser_code = ''</v>
      </c>
      <c r="AH79" s="226" t="str">
        <f>"2B:jininkbn_code:"&amp;IF(F88="■",1,0)</f>
        <v>2B:jininkbn_code:0</v>
      </c>
      <c r="AI79" s="226" t="str">
        <f>"2B:yakan_kinmu_code:" &amp; IF(I79="■",1,IF(M79="■",2,IF(Q79="■",3,IF(U79="■",7,IF(I80="■",5,IF(M80="■",6,0))))))</f>
        <v>2B:yakan_kinmu_code:0</v>
      </c>
      <c r="AJ79" s="226" t="str">
        <f>"2B:field203:" &amp; IF(Y79="■",1,IF(Y80="■",2,0))</f>
        <v>2B:field203:0</v>
      </c>
    </row>
    <row r="80" spans="1:36" ht="18.75" customHeight="1" x14ac:dyDescent="0.15">
      <c r="A80" s="237"/>
      <c r="B80" s="238"/>
      <c r="C80" s="239"/>
      <c r="D80" s="252"/>
      <c r="E80" s="241"/>
      <c r="F80" s="252"/>
      <c r="G80" s="240"/>
      <c r="H80" s="415"/>
      <c r="I80" s="268" t="s">
        <v>184</v>
      </c>
      <c r="J80" s="244" t="s">
        <v>160</v>
      </c>
      <c r="K80" s="245"/>
      <c r="L80" s="246"/>
      <c r="M80" s="247" t="s">
        <v>184</v>
      </c>
      <c r="N80" s="244" t="s">
        <v>154</v>
      </c>
      <c r="O80" s="316"/>
      <c r="P80" s="316"/>
      <c r="Q80" s="316"/>
      <c r="R80" s="316"/>
      <c r="S80" s="316"/>
      <c r="T80" s="316"/>
      <c r="U80" s="316"/>
      <c r="V80" s="316"/>
      <c r="W80" s="316"/>
      <c r="X80" s="317"/>
      <c r="Y80" s="250" t="s">
        <v>184</v>
      </c>
      <c r="Z80" s="2" t="s">
        <v>145</v>
      </c>
      <c r="AA80" s="262"/>
      <c r="AB80" s="251"/>
      <c r="AC80" s="388"/>
      <c r="AD80" s="389"/>
      <c r="AE80" s="389"/>
      <c r="AF80" s="390"/>
      <c r="AG80" s="226" t="str">
        <f>"2B:sisetukbn_code:"&amp;IF(D88="■","3",0)</f>
        <v>2B:sisetukbn_code:0</v>
      </c>
      <c r="AH80" s="226"/>
      <c r="AI80" s="226"/>
      <c r="AJ80" s="226"/>
    </row>
    <row r="81" spans="1:36" ht="18.75" customHeight="1" x14ac:dyDescent="0.15">
      <c r="A81" s="237"/>
      <c r="B81" s="238"/>
      <c r="C81" s="239"/>
      <c r="D81" s="252"/>
      <c r="E81" s="241"/>
      <c r="F81" s="252"/>
      <c r="G81" s="240"/>
      <c r="H81" s="416" t="s">
        <v>87</v>
      </c>
      <c r="I81" s="284" t="s">
        <v>184</v>
      </c>
      <c r="J81" s="286" t="s">
        <v>142</v>
      </c>
      <c r="K81" s="286"/>
      <c r="L81" s="321"/>
      <c r="M81" s="285" t="s">
        <v>184</v>
      </c>
      <c r="N81" s="286" t="s">
        <v>152</v>
      </c>
      <c r="O81" s="286"/>
      <c r="P81" s="321"/>
      <c r="Q81" s="285" t="s">
        <v>184</v>
      </c>
      <c r="R81" s="322" t="s">
        <v>173</v>
      </c>
      <c r="S81" s="322"/>
      <c r="T81" s="322"/>
      <c r="U81" s="314"/>
      <c r="V81" s="321"/>
      <c r="W81" s="322"/>
      <c r="X81" s="315"/>
      <c r="Y81" s="267"/>
      <c r="Z81" s="262"/>
      <c r="AA81" s="262"/>
      <c r="AB81" s="251"/>
      <c r="AC81" s="388"/>
      <c r="AD81" s="389"/>
      <c r="AE81" s="389"/>
      <c r="AF81" s="390"/>
      <c r="AG81" s="226"/>
      <c r="AH81" s="226"/>
      <c r="AI81" s="226" t="str">
        <f>"2B:"&amp;IF(AND(I81="□",M81="□",Q81="□",I82="□",M82="□"),"ketu_doctor_code:0",IF(I81="■","ketu_doctor_code:1:field197:1:ketu_kangos_code:1:ketu_kshoku_code:1",IF(M81="■","ketu_doctor_code:2","ketu_doctor_code:1")
&amp;IF(Q81="■",":field197:2",":field197:1")
&amp;IF(I82="■",":ketu_kangos_code:2",":ketu_kangos_code:1")
&amp;IF(M82="■",":ketu_kshoku_code:2",":ketu_kshoku_code:1")))</f>
        <v>2B:ketu_doctor_code:0</v>
      </c>
      <c r="AJ81" s="226"/>
    </row>
    <row r="82" spans="1:36" ht="18.75" customHeight="1" x14ac:dyDescent="0.15">
      <c r="A82" s="237"/>
      <c r="B82" s="238"/>
      <c r="C82" s="239"/>
      <c r="D82" s="252"/>
      <c r="E82" s="241"/>
      <c r="F82" s="252"/>
      <c r="G82" s="240"/>
      <c r="H82" s="415"/>
      <c r="I82" s="268" t="s">
        <v>184</v>
      </c>
      <c r="J82" s="316" t="s">
        <v>174</v>
      </c>
      <c r="K82" s="316"/>
      <c r="L82" s="316"/>
      <c r="M82" s="247" t="s">
        <v>184</v>
      </c>
      <c r="N82" s="316" t="s">
        <v>175</v>
      </c>
      <c r="O82" s="246"/>
      <c r="P82" s="316"/>
      <c r="Q82" s="316"/>
      <c r="R82" s="246"/>
      <c r="S82" s="316"/>
      <c r="T82" s="316"/>
      <c r="U82" s="248"/>
      <c r="V82" s="246"/>
      <c r="W82" s="316"/>
      <c r="X82" s="249"/>
      <c r="Y82" s="267"/>
      <c r="Z82" s="262"/>
      <c r="AA82" s="262"/>
      <c r="AB82" s="251"/>
      <c r="AC82" s="388"/>
      <c r="AD82" s="389"/>
      <c r="AE82" s="389"/>
      <c r="AF82" s="390"/>
    </row>
    <row r="83" spans="1:36" s="226" customFormat="1" ht="18.75" customHeight="1" x14ac:dyDescent="0.15">
      <c r="A83" s="237"/>
      <c r="B83" s="238"/>
      <c r="C83" s="311"/>
      <c r="D83" s="312"/>
      <c r="E83" s="240"/>
      <c r="F83" s="219"/>
      <c r="G83" s="241"/>
      <c r="H83" s="270" t="s">
        <v>92</v>
      </c>
      <c r="I83" s="254" t="s">
        <v>184</v>
      </c>
      <c r="J83" s="255" t="s">
        <v>185</v>
      </c>
      <c r="K83" s="256"/>
      <c r="L83" s="257"/>
      <c r="M83" s="258" t="s">
        <v>184</v>
      </c>
      <c r="N83" s="255" t="s">
        <v>186</v>
      </c>
      <c r="O83" s="256"/>
      <c r="P83" s="256"/>
      <c r="Q83" s="256"/>
      <c r="R83" s="256"/>
      <c r="S83" s="256"/>
      <c r="T83" s="256"/>
      <c r="U83" s="256"/>
      <c r="V83" s="256"/>
      <c r="W83" s="256"/>
      <c r="X83" s="269"/>
      <c r="Y83" s="267"/>
      <c r="Z83" s="262"/>
      <c r="AA83" s="262"/>
      <c r="AB83" s="251"/>
      <c r="AC83" s="388"/>
      <c r="AD83" s="389"/>
      <c r="AE83" s="389"/>
      <c r="AF83" s="390"/>
      <c r="AI83" s="226" t="str">
        <f>"2B:sintaikousoku_code:" &amp; IF(I83="■",1,IF(M83="■",2,0))</f>
        <v>2B:sintaikousoku_code:0</v>
      </c>
    </row>
    <row r="84" spans="1:36" ht="19.5" customHeight="1" x14ac:dyDescent="0.15">
      <c r="A84" s="237"/>
      <c r="B84" s="238"/>
      <c r="C84" s="239"/>
      <c r="D84" s="252"/>
      <c r="E84" s="240"/>
      <c r="F84" s="219"/>
      <c r="G84" s="241"/>
      <c r="H84" s="253" t="s">
        <v>192</v>
      </c>
      <c r="I84" s="284" t="s">
        <v>184</v>
      </c>
      <c r="J84" s="255" t="s">
        <v>185</v>
      </c>
      <c r="K84" s="256"/>
      <c r="L84" s="257"/>
      <c r="M84" s="258" t="s">
        <v>184</v>
      </c>
      <c r="N84" s="255" t="s">
        <v>193</v>
      </c>
      <c r="O84" s="260"/>
      <c r="P84" s="255"/>
      <c r="Q84" s="260"/>
      <c r="R84" s="260"/>
      <c r="S84" s="260"/>
      <c r="T84" s="260"/>
      <c r="U84" s="260"/>
      <c r="V84" s="260"/>
      <c r="W84" s="260"/>
      <c r="X84" s="261"/>
      <c r="Y84" s="262"/>
      <c r="Z84" s="262"/>
      <c r="AA84" s="262"/>
      <c r="AB84" s="251"/>
      <c r="AC84" s="388"/>
      <c r="AD84" s="389"/>
      <c r="AE84" s="389"/>
      <c r="AF84" s="390"/>
      <c r="AI84" s="226" t="str">
        <f>"2B:field223:" &amp; IF(I84="■",1,IF(M84="■",2,0))</f>
        <v>2B:field223:0</v>
      </c>
    </row>
    <row r="85" spans="1:36" ht="19.5" customHeight="1" x14ac:dyDescent="0.15">
      <c r="A85" s="237"/>
      <c r="B85" s="238"/>
      <c r="C85" s="239"/>
      <c r="D85" s="252"/>
      <c r="E85" s="240"/>
      <c r="F85" s="219"/>
      <c r="G85" s="241"/>
      <c r="H85" s="253" t="s">
        <v>201</v>
      </c>
      <c r="I85" s="284" t="s">
        <v>184</v>
      </c>
      <c r="J85" s="255" t="s">
        <v>185</v>
      </c>
      <c r="K85" s="256"/>
      <c r="L85" s="257"/>
      <c r="M85" s="258" t="s">
        <v>184</v>
      </c>
      <c r="N85" s="255" t="s">
        <v>193</v>
      </c>
      <c r="O85" s="260"/>
      <c r="P85" s="255"/>
      <c r="Q85" s="260"/>
      <c r="R85" s="260"/>
      <c r="S85" s="260"/>
      <c r="T85" s="260"/>
      <c r="U85" s="260"/>
      <c r="V85" s="260"/>
      <c r="W85" s="260"/>
      <c r="X85" s="261"/>
      <c r="Y85" s="262"/>
      <c r="Z85" s="262"/>
      <c r="AA85" s="262"/>
      <c r="AB85" s="251"/>
      <c r="AC85" s="388"/>
      <c r="AD85" s="389"/>
      <c r="AE85" s="389"/>
      <c r="AF85" s="390"/>
      <c r="AI85" s="226" t="str">
        <f>"2B:field232:" &amp; IF(I85="■",1,IF(M85="■",2,0))</f>
        <v>2B:field232:0</v>
      </c>
    </row>
    <row r="86" spans="1:36" ht="18.75" customHeight="1" x14ac:dyDescent="0.15">
      <c r="A86" s="237"/>
      <c r="B86" s="238"/>
      <c r="C86" s="239"/>
      <c r="D86" s="252"/>
      <c r="E86" s="241"/>
      <c r="F86" s="252"/>
      <c r="G86" s="240"/>
      <c r="H86" s="270" t="s">
        <v>112</v>
      </c>
      <c r="I86" s="284" t="s">
        <v>184</v>
      </c>
      <c r="J86" s="255" t="s">
        <v>153</v>
      </c>
      <c r="K86" s="256"/>
      <c r="L86" s="257"/>
      <c r="M86" s="258" t="s">
        <v>184</v>
      </c>
      <c r="N86" s="255" t="s">
        <v>161</v>
      </c>
      <c r="O86" s="260"/>
      <c r="P86" s="260"/>
      <c r="Q86" s="260"/>
      <c r="R86" s="260"/>
      <c r="S86" s="260"/>
      <c r="T86" s="260"/>
      <c r="U86" s="260"/>
      <c r="V86" s="260"/>
      <c r="W86" s="260"/>
      <c r="X86" s="261"/>
      <c r="Y86" s="267"/>
      <c r="Z86" s="262"/>
      <c r="AA86" s="262"/>
      <c r="AB86" s="251"/>
      <c r="AC86" s="388"/>
      <c r="AD86" s="389"/>
      <c r="AE86" s="389"/>
      <c r="AF86" s="390"/>
      <c r="AI86" s="226" t="str">
        <f>"2B:field190:" &amp; IF(I86="■",1,IF(M86="■",2,0))</f>
        <v>2B:field190:0</v>
      </c>
    </row>
    <row r="87" spans="1:36" ht="18.75" customHeight="1" x14ac:dyDescent="0.15">
      <c r="A87" s="237"/>
      <c r="B87" s="238"/>
      <c r="C87" s="239"/>
      <c r="D87" s="252"/>
      <c r="E87" s="241"/>
      <c r="F87" s="252"/>
      <c r="G87" s="240"/>
      <c r="H87" s="270" t="s">
        <v>113</v>
      </c>
      <c r="I87" s="284" t="s">
        <v>184</v>
      </c>
      <c r="J87" s="255" t="s">
        <v>153</v>
      </c>
      <c r="K87" s="256"/>
      <c r="L87" s="257"/>
      <c r="M87" s="258" t="s">
        <v>184</v>
      </c>
      <c r="N87" s="255" t="s">
        <v>161</v>
      </c>
      <c r="O87" s="260"/>
      <c r="P87" s="260"/>
      <c r="Q87" s="260"/>
      <c r="R87" s="260"/>
      <c r="S87" s="260"/>
      <c r="T87" s="260"/>
      <c r="U87" s="260"/>
      <c r="V87" s="260"/>
      <c r="W87" s="260"/>
      <c r="X87" s="261"/>
      <c r="Y87" s="267"/>
      <c r="Z87" s="262"/>
      <c r="AA87" s="262"/>
      <c r="AB87" s="251"/>
      <c r="AC87" s="388"/>
      <c r="AD87" s="389"/>
      <c r="AE87" s="389"/>
      <c r="AF87" s="390"/>
      <c r="AI87" s="226" t="str">
        <f>"2B:field191:" &amp; IF(I87="■",1,IF(M87="■",2,0))</f>
        <v>2B:field191:0</v>
      </c>
    </row>
    <row r="88" spans="1:36" ht="18.75" customHeight="1" x14ac:dyDescent="0.15">
      <c r="A88" s="268" t="s">
        <v>184</v>
      </c>
      <c r="B88" s="238" t="s">
        <v>213</v>
      </c>
      <c r="C88" s="239" t="s">
        <v>211</v>
      </c>
      <c r="D88" s="268" t="s">
        <v>184</v>
      </c>
      <c r="E88" s="241" t="s">
        <v>217</v>
      </c>
      <c r="F88" s="268" t="s">
        <v>184</v>
      </c>
      <c r="G88" s="240" t="s">
        <v>180</v>
      </c>
      <c r="H88" s="270" t="s">
        <v>210</v>
      </c>
      <c r="I88" s="284" t="s">
        <v>184</v>
      </c>
      <c r="J88" s="255" t="s">
        <v>142</v>
      </c>
      <c r="K88" s="256"/>
      <c r="L88" s="258" t="s">
        <v>184</v>
      </c>
      <c r="M88" s="255" t="s">
        <v>150</v>
      </c>
      <c r="N88" s="260"/>
      <c r="O88" s="260"/>
      <c r="P88" s="260"/>
      <c r="Q88" s="260"/>
      <c r="R88" s="260"/>
      <c r="S88" s="260"/>
      <c r="T88" s="260"/>
      <c r="U88" s="260"/>
      <c r="V88" s="260"/>
      <c r="W88" s="260"/>
      <c r="X88" s="261"/>
      <c r="Y88" s="267"/>
      <c r="Z88" s="262"/>
      <c r="AA88" s="262"/>
      <c r="AB88" s="251"/>
      <c r="AC88" s="388"/>
      <c r="AD88" s="389"/>
      <c r="AE88" s="389"/>
      <c r="AF88" s="390"/>
      <c r="AI88" s="226" t="str">
        <f>"2B:jyakuninti_uke_code:" &amp; IF(I88="■",1,IF(L88="■",2,0))</f>
        <v>2B:jyakuninti_uke_code:0</v>
      </c>
    </row>
    <row r="89" spans="1:36" ht="18.75" customHeight="1" x14ac:dyDescent="0.15">
      <c r="A89" s="252"/>
      <c r="B89" s="238"/>
      <c r="C89" s="239"/>
      <c r="D89" s="252"/>
      <c r="E89" s="241"/>
      <c r="F89" s="252"/>
      <c r="G89" s="240"/>
      <c r="H89" s="270" t="s">
        <v>88</v>
      </c>
      <c r="I89" s="284" t="s">
        <v>184</v>
      </c>
      <c r="J89" s="255" t="s">
        <v>148</v>
      </c>
      <c r="K89" s="256"/>
      <c r="L89" s="257"/>
      <c r="M89" s="258" t="s">
        <v>184</v>
      </c>
      <c r="N89" s="255" t="s">
        <v>149</v>
      </c>
      <c r="O89" s="260"/>
      <c r="P89" s="260"/>
      <c r="Q89" s="260"/>
      <c r="R89" s="260"/>
      <c r="S89" s="260"/>
      <c r="T89" s="260"/>
      <c r="U89" s="260"/>
      <c r="V89" s="260"/>
      <c r="W89" s="260"/>
      <c r="X89" s="261"/>
      <c r="Y89" s="267"/>
      <c r="Z89" s="262"/>
      <c r="AA89" s="262"/>
      <c r="AB89" s="251"/>
      <c r="AC89" s="388"/>
      <c r="AD89" s="389"/>
      <c r="AE89" s="389"/>
      <c r="AF89" s="390"/>
      <c r="AI89" s="226" t="str">
        <f>"2B:sougei_code:" &amp; IF(I89="■",1,IF(M89="■",2,0))</f>
        <v>2B:sougei_code:0</v>
      </c>
    </row>
    <row r="90" spans="1:36" ht="19.5" customHeight="1" x14ac:dyDescent="0.15">
      <c r="A90" s="237"/>
      <c r="B90" s="238"/>
      <c r="C90" s="239"/>
      <c r="D90" s="252"/>
      <c r="E90" s="241"/>
      <c r="F90" s="252"/>
      <c r="G90" s="240"/>
      <c r="H90" s="253" t="s">
        <v>194</v>
      </c>
      <c r="I90" s="284" t="s">
        <v>184</v>
      </c>
      <c r="J90" s="255" t="s">
        <v>142</v>
      </c>
      <c r="K90" s="255"/>
      <c r="L90" s="258" t="s">
        <v>184</v>
      </c>
      <c r="M90" s="255" t="s">
        <v>150</v>
      </c>
      <c r="N90" s="255"/>
      <c r="O90" s="260"/>
      <c r="P90" s="255"/>
      <c r="Q90" s="260"/>
      <c r="R90" s="260"/>
      <c r="S90" s="260"/>
      <c r="T90" s="260"/>
      <c r="U90" s="260"/>
      <c r="V90" s="260"/>
      <c r="W90" s="260"/>
      <c r="X90" s="261"/>
      <c r="Y90" s="262"/>
      <c r="Z90" s="262"/>
      <c r="AA90" s="262"/>
      <c r="AB90" s="251"/>
      <c r="AC90" s="388"/>
      <c r="AD90" s="389"/>
      <c r="AE90" s="389"/>
      <c r="AF90" s="390"/>
      <c r="AI90" s="226" t="str">
        <f>"2B:field224:" &amp; IF(I90="■",1,IF(L90="■",2,0))</f>
        <v>2B:field224:0</v>
      </c>
    </row>
    <row r="91" spans="1:36" ht="18.75" customHeight="1" x14ac:dyDescent="0.15">
      <c r="A91" s="237"/>
      <c r="B91" s="238"/>
      <c r="C91" s="239"/>
      <c r="D91" s="252"/>
      <c r="E91" s="241"/>
      <c r="F91" s="252"/>
      <c r="G91" s="240"/>
      <c r="H91" s="270" t="s">
        <v>94</v>
      </c>
      <c r="I91" s="284" t="s">
        <v>184</v>
      </c>
      <c r="J91" s="255" t="s">
        <v>142</v>
      </c>
      <c r="K91" s="256"/>
      <c r="L91" s="258" t="s">
        <v>184</v>
      </c>
      <c r="M91" s="255" t="s">
        <v>150</v>
      </c>
      <c r="N91" s="260"/>
      <c r="O91" s="260"/>
      <c r="P91" s="260"/>
      <c r="Q91" s="260"/>
      <c r="R91" s="260"/>
      <c r="S91" s="260"/>
      <c r="T91" s="260"/>
      <c r="U91" s="260"/>
      <c r="V91" s="260"/>
      <c r="W91" s="260"/>
      <c r="X91" s="261"/>
      <c r="Y91" s="267"/>
      <c r="Z91" s="262"/>
      <c r="AA91" s="262"/>
      <c r="AB91" s="251"/>
      <c r="AC91" s="388"/>
      <c r="AD91" s="389"/>
      <c r="AE91" s="389"/>
      <c r="AF91" s="390"/>
      <c r="AI91" s="226" t="str">
        <f>"2B:ryouyoushoku_code:" &amp; IF(I91="■",1,IF(L91="■",2,0))</f>
        <v>2B:ryouyoushoku_code:0</v>
      </c>
    </row>
    <row r="92" spans="1:36" ht="18.75" customHeight="1" x14ac:dyDescent="0.15">
      <c r="A92" s="237"/>
      <c r="B92" s="238"/>
      <c r="C92" s="239"/>
      <c r="D92" s="252"/>
      <c r="E92" s="241"/>
      <c r="F92" s="252"/>
      <c r="G92" s="240"/>
      <c r="H92" s="270" t="s">
        <v>95</v>
      </c>
      <c r="I92" s="284" t="s">
        <v>184</v>
      </c>
      <c r="J92" s="255" t="s">
        <v>142</v>
      </c>
      <c r="K92" s="255"/>
      <c r="L92" s="258" t="s">
        <v>184</v>
      </c>
      <c r="M92" s="255" t="s">
        <v>143</v>
      </c>
      <c r="N92" s="255"/>
      <c r="O92" s="258" t="s">
        <v>184</v>
      </c>
      <c r="P92" s="255" t="s">
        <v>144</v>
      </c>
      <c r="Q92" s="260"/>
      <c r="R92" s="260"/>
      <c r="S92" s="260"/>
      <c r="T92" s="260"/>
      <c r="U92" s="260"/>
      <c r="V92" s="260"/>
      <c r="W92" s="260"/>
      <c r="X92" s="261"/>
      <c r="Y92" s="267"/>
      <c r="Z92" s="262"/>
      <c r="AA92" s="262"/>
      <c r="AB92" s="251"/>
      <c r="AC92" s="388"/>
      <c r="AD92" s="389"/>
      <c r="AE92" s="389"/>
      <c r="AF92" s="390"/>
      <c r="AI92" s="226" t="str">
        <f>"2B:ninti_senmoncare_code:" &amp; IF(I92="■",1,IF(O92="■",3,IF(L92="■",2,0)))</f>
        <v>2B:ninti_senmoncare_code:0</v>
      </c>
    </row>
    <row r="93" spans="1:36" ht="18.75" customHeight="1" x14ac:dyDescent="0.15">
      <c r="A93" s="252"/>
      <c r="B93" s="238"/>
      <c r="C93" s="239"/>
      <c r="D93" s="252"/>
      <c r="E93" s="241"/>
      <c r="F93" s="252"/>
      <c r="G93" s="240"/>
      <c r="H93" s="313" t="s">
        <v>199</v>
      </c>
      <c r="I93" s="284" t="s">
        <v>184</v>
      </c>
      <c r="J93" s="255" t="s">
        <v>142</v>
      </c>
      <c r="K93" s="255"/>
      <c r="L93" s="258" t="s">
        <v>184</v>
      </c>
      <c r="M93" s="255" t="s">
        <v>143</v>
      </c>
      <c r="N93" s="255"/>
      <c r="O93" s="258" t="s">
        <v>184</v>
      </c>
      <c r="P93" s="255" t="s">
        <v>144</v>
      </c>
      <c r="Q93" s="260"/>
      <c r="R93" s="260"/>
      <c r="S93" s="260"/>
      <c r="T93" s="260"/>
      <c r="U93" s="314"/>
      <c r="V93" s="314"/>
      <c r="W93" s="314"/>
      <c r="X93" s="315"/>
      <c r="Y93" s="267"/>
      <c r="Z93" s="262"/>
      <c r="AA93" s="262"/>
      <c r="AB93" s="251"/>
      <c r="AC93" s="388"/>
      <c r="AD93" s="389"/>
      <c r="AE93" s="389"/>
      <c r="AF93" s="390"/>
      <c r="AI93" s="226" t="str">
        <f>"2B:field225:" &amp; IF(I93="■",1,IF(L93="■",2,IF(O93="■",3,0)))</f>
        <v>2B:field225:0</v>
      </c>
    </row>
    <row r="94" spans="1:36" ht="18.75" customHeight="1" x14ac:dyDescent="0.15">
      <c r="A94" s="237"/>
      <c r="B94" s="238"/>
      <c r="C94" s="239"/>
      <c r="D94" s="252"/>
      <c r="E94" s="241"/>
      <c r="F94" s="252"/>
      <c r="G94" s="240"/>
      <c r="H94" s="270" t="s">
        <v>96</v>
      </c>
      <c r="I94" s="284" t="s">
        <v>184</v>
      </c>
      <c r="J94" s="255" t="s">
        <v>142</v>
      </c>
      <c r="K94" s="255"/>
      <c r="L94" s="258" t="s">
        <v>184</v>
      </c>
      <c r="M94" s="255" t="s">
        <v>146</v>
      </c>
      <c r="N94" s="255"/>
      <c r="O94" s="258" t="s">
        <v>184</v>
      </c>
      <c r="P94" s="255" t="s">
        <v>147</v>
      </c>
      <c r="Q94" s="288"/>
      <c r="R94" s="258" t="s">
        <v>184</v>
      </c>
      <c r="S94" s="255" t="s">
        <v>151</v>
      </c>
      <c r="T94" s="288"/>
      <c r="U94" s="288"/>
      <c r="V94" s="288"/>
      <c r="W94" s="288"/>
      <c r="X94" s="289"/>
      <c r="Y94" s="267"/>
      <c r="Z94" s="262"/>
      <c r="AA94" s="262"/>
      <c r="AB94" s="251"/>
      <c r="AC94" s="388"/>
      <c r="AD94" s="389"/>
      <c r="AE94" s="389"/>
      <c r="AF94" s="390"/>
      <c r="AI94" s="226" t="str">
        <f>"2B:serteikyo_kyoka_code:" &amp; IF(I94="■",1,IF(L94="■",6,IF(O94="■",5,IF(R94="■",7,0))))</f>
        <v>2B:serteikyo_kyoka_code:0</v>
      </c>
    </row>
    <row r="95" spans="1:36" ht="18.75" customHeight="1" x14ac:dyDescent="0.15">
      <c r="A95" s="237"/>
      <c r="B95" s="238"/>
      <c r="C95" s="239"/>
      <c r="D95" s="252"/>
      <c r="E95" s="241"/>
      <c r="F95" s="252"/>
      <c r="G95" s="240"/>
      <c r="H95" s="402" t="s">
        <v>209</v>
      </c>
      <c r="I95" s="417" t="s">
        <v>184</v>
      </c>
      <c r="J95" s="418" t="s">
        <v>142</v>
      </c>
      <c r="K95" s="418"/>
      <c r="L95" s="417" t="s">
        <v>184</v>
      </c>
      <c r="M95" s="418" t="s">
        <v>150</v>
      </c>
      <c r="N95" s="418"/>
      <c r="O95" s="322"/>
      <c r="P95" s="322"/>
      <c r="Q95" s="322"/>
      <c r="R95" s="322"/>
      <c r="S95" s="322"/>
      <c r="T95" s="322"/>
      <c r="U95" s="322"/>
      <c r="V95" s="322"/>
      <c r="W95" s="322"/>
      <c r="X95" s="323"/>
      <c r="Y95" s="267"/>
      <c r="Z95" s="262"/>
      <c r="AA95" s="262"/>
      <c r="AB95" s="251"/>
      <c r="AC95" s="388"/>
      <c r="AD95" s="389"/>
      <c r="AE95" s="389"/>
      <c r="AF95" s="390"/>
      <c r="AI95" s="226" t="str">
        <f>"2B:field221:" &amp; IF(I95="■",1,IF(L95="■",2,0))</f>
        <v>2B:field221:0</v>
      </c>
    </row>
    <row r="96" spans="1:36" ht="18.75" customHeight="1" x14ac:dyDescent="0.15">
      <c r="A96" s="237"/>
      <c r="B96" s="238"/>
      <c r="C96" s="239"/>
      <c r="D96" s="252"/>
      <c r="E96" s="241"/>
      <c r="F96" s="252"/>
      <c r="G96" s="240"/>
      <c r="H96" s="382"/>
      <c r="I96" s="417"/>
      <c r="J96" s="418"/>
      <c r="K96" s="418"/>
      <c r="L96" s="417"/>
      <c r="M96" s="418"/>
      <c r="N96" s="418"/>
      <c r="O96" s="316"/>
      <c r="P96" s="316"/>
      <c r="Q96" s="316"/>
      <c r="R96" s="316"/>
      <c r="S96" s="316"/>
      <c r="T96" s="316"/>
      <c r="U96" s="316"/>
      <c r="V96" s="316"/>
      <c r="W96" s="316"/>
      <c r="X96" s="317"/>
      <c r="Y96" s="267"/>
      <c r="Z96" s="262"/>
      <c r="AA96" s="262"/>
      <c r="AB96" s="251"/>
      <c r="AC96" s="388"/>
      <c r="AD96" s="389"/>
      <c r="AE96" s="389"/>
      <c r="AF96" s="390"/>
    </row>
    <row r="97" spans="1:36" ht="18.75" customHeight="1" x14ac:dyDescent="0.15">
      <c r="A97" s="271"/>
      <c r="B97" s="238"/>
      <c r="C97" s="272"/>
      <c r="D97" s="231"/>
      <c r="E97" s="236"/>
      <c r="F97" s="220"/>
      <c r="G97" s="273"/>
      <c r="H97" s="274" t="s">
        <v>208</v>
      </c>
      <c r="I97" s="284" t="s">
        <v>184</v>
      </c>
      <c r="J97" s="43" t="s">
        <v>142</v>
      </c>
      <c r="K97" s="43"/>
      <c r="L97" s="276" t="s">
        <v>184</v>
      </c>
      <c r="M97" s="43" t="s">
        <v>195</v>
      </c>
      <c r="N97" s="277"/>
      <c r="O97" s="276" t="s">
        <v>184</v>
      </c>
      <c r="P97" s="233" t="s">
        <v>196</v>
      </c>
      <c r="Q97" s="278"/>
      <c r="R97" s="276" t="s">
        <v>184</v>
      </c>
      <c r="S97" s="43" t="s">
        <v>197</v>
      </c>
      <c r="T97" s="278"/>
      <c r="U97" s="276" t="s">
        <v>184</v>
      </c>
      <c r="V97" s="43" t="s">
        <v>198</v>
      </c>
      <c r="W97" s="279"/>
      <c r="X97" s="280"/>
      <c r="Y97" s="281"/>
      <c r="Z97" s="281"/>
      <c r="AA97" s="281"/>
      <c r="AB97" s="282"/>
      <c r="AC97" s="388"/>
      <c r="AD97" s="389"/>
      <c r="AE97" s="389"/>
      <c r="AF97" s="390"/>
      <c r="AG97" s="226"/>
      <c r="AH97" s="226"/>
      <c r="AI97" s="226" t="str">
        <f>"2B:shoguukaizen_code:"&amp;IF(I97="■",1,IF(L97="■",7,IF(O97="■",8,IF(R97="■",9,IF(U97="■","A",0)))))</f>
        <v>2B:shoguukaizen_code:0</v>
      </c>
    </row>
    <row r="98" spans="1:36" ht="18.75" customHeight="1" x14ac:dyDescent="0.15">
      <c r="A98" s="41"/>
      <c r="B98" s="214"/>
      <c r="C98" s="293"/>
      <c r="D98" s="6"/>
      <c r="E98" s="23"/>
      <c r="F98" s="6"/>
      <c r="G98" s="229"/>
      <c r="H98" s="414" t="s">
        <v>89</v>
      </c>
      <c r="I98" s="284" t="s">
        <v>184</v>
      </c>
      <c r="J98" s="22" t="s">
        <v>153</v>
      </c>
      <c r="K98" s="320"/>
      <c r="L98" s="218"/>
      <c r="M98" s="227" t="s">
        <v>184</v>
      </c>
      <c r="N98" s="22" t="s">
        <v>157</v>
      </c>
      <c r="O98" s="7"/>
      <c r="P98" s="7"/>
      <c r="Q98" s="227" t="s">
        <v>184</v>
      </c>
      <c r="R98" s="22" t="s">
        <v>158</v>
      </c>
      <c r="S98" s="7"/>
      <c r="T98" s="7"/>
      <c r="U98" s="227" t="s">
        <v>184</v>
      </c>
      <c r="V98" s="22" t="s">
        <v>159</v>
      </c>
      <c r="W98" s="7"/>
      <c r="X98" s="4"/>
      <c r="Y98" s="297" t="s">
        <v>184</v>
      </c>
      <c r="Z98" s="22" t="s">
        <v>141</v>
      </c>
      <c r="AA98" s="22"/>
      <c r="AB98" s="302"/>
      <c r="AC98" s="385"/>
      <c r="AD98" s="386"/>
      <c r="AE98" s="386"/>
      <c r="AF98" s="387"/>
      <c r="AG98" s="226" t="str">
        <f>"ser_code = '" &amp; IF(A107="■","2B","") &amp; "'"</f>
        <v>ser_code = ''</v>
      </c>
      <c r="AH98" s="226" t="str">
        <f>"2B:jininkbn_code:"&amp;IF(F107="■",2,0)</f>
        <v>2B:jininkbn_code:0</v>
      </c>
      <c r="AI98" s="226" t="str">
        <f>"2B:yakan_kinmu_code:" &amp; IF(I98="■",1,IF(M98="■",2,IF(Q98="■",3,IF(U98="■",7,IF(I99="■",5,IF(M99="■",6,0))))))</f>
        <v>2B:yakan_kinmu_code:0</v>
      </c>
      <c r="AJ98" s="226" t="str">
        <f>"2B:field203:" &amp; IF(Y98="■",1,IF(Y99="■",2,0))</f>
        <v>2B:field203:0</v>
      </c>
    </row>
    <row r="99" spans="1:36" ht="18.75" customHeight="1" x14ac:dyDescent="0.15">
      <c r="A99" s="237"/>
      <c r="B99" s="238"/>
      <c r="C99" s="239"/>
      <c r="D99" s="252"/>
      <c r="E99" s="241"/>
      <c r="F99" s="252"/>
      <c r="G99" s="240"/>
      <c r="H99" s="415"/>
      <c r="I99" s="268" t="s">
        <v>184</v>
      </c>
      <c r="J99" s="244" t="s">
        <v>160</v>
      </c>
      <c r="K99" s="245"/>
      <c r="L99" s="246"/>
      <c r="M99" s="247" t="s">
        <v>184</v>
      </c>
      <c r="N99" s="244" t="s">
        <v>154</v>
      </c>
      <c r="O99" s="316"/>
      <c r="P99" s="316"/>
      <c r="Q99" s="316"/>
      <c r="R99" s="316"/>
      <c r="S99" s="316"/>
      <c r="T99" s="316"/>
      <c r="U99" s="316"/>
      <c r="V99" s="316"/>
      <c r="W99" s="316"/>
      <c r="X99" s="317"/>
      <c r="Y99" s="250" t="s">
        <v>184</v>
      </c>
      <c r="Z99" s="2" t="s">
        <v>145</v>
      </c>
      <c r="AA99" s="262"/>
      <c r="AB99" s="251"/>
      <c r="AC99" s="388"/>
      <c r="AD99" s="389"/>
      <c r="AE99" s="389"/>
      <c r="AF99" s="390"/>
      <c r="AG99" s="226" t="str">
        <f>"2B:sisetukbn_code:"&amp;IF(D107="■","3",0)</f>
        <v>2B:sisetukbn_code:0</v>
      </c>
      <c r="AH99" s="226"/>
      <c r="AI99" s="226"/>
      <c r="AJ99" s="226"/>
    </row>
    <row r="100" spans="1:36" ht="18.75" customHeight="1" x14ac:dyDescent="0.15">
      <c r="A100" s="237"/>
      <c r="B100" s="238"/>
      <c r="C100" s="239"/>
      <c r="D100" s="252"/>
      <c r="E100" s="241"/>
      <c r="F100" s="252"/>
      <c r="G100" s="240"/>
      <c r="H100" s="416" t="s">
        <v>87</v>
      </c>
      <c r="I100" s="284" t="s">
        <v>184</v>
      </c>
      <c r="J100" s="286" t="s">
        <v>142</v>
      </c>
      <c r="K100" s="286"/>
      <c r="L100" s="321"/>
      <c r="M100" s="285" t="s">
        <v>184</v>
      </c>
      <c r="N100" s="286" t="s">
        <v>152</v>
      </c>
      <c r="O100" s="286"/>
      <c r="P100" s="321"/>
      <c r="Q100" s="285" t="s">
        <v>184</v>
      </c>
      <c r="R100" s="322" t="s">
        <v>173</v>
      </c>
      <c r="S100" s="322"/>
      <c r="T100" s="322"/>
      <c r="U100" s="314"/>
      <c r="V100" s="321"/>
      <c r="W100" s="322"/>
      <c r="X100" s="315"/>
      <c r="Y100" s="267"/>
      <c r="Z100" s="262"/>
      <c r="AA100" s="262"/>
      <c r="AB100" s="251"/>
      <c r="AC100" s="388"/>
      <c r="AD100" s="389"/>
      <c r="AE100" s="389"/>
      <c r="AF100" s="390"/>
      <c r="AG100" s="226"/>
      <c r="AH100" s="226"/>
      <c r="AI100" s="226" t="str">
        <f>"2B:"&amp;IF(AND(I100="□",M100="□",Q100="□",I101="□",M101="□"),"ketu_doctor_code:0",IF(I100="■","ketu_doctor_code:1:field197:1:ketu_kangos_code:1:ketu_kshoku_code:1",IF(M100="■","ketu_doctor_code:2","ketu_doctor_code:1")
&amp;IF(Q100="■",":field197:2",":field197:1")
&amp;IF(I101="■",":ketu_kangos_code:2",":ketu_kangos_code:1")
&amp;IF(M101="■",":ketu_kshoku_code:2",":ketu_kshoku_code:1")))</f>
        <v>2B:ketu_doctor_code:0</v>
      </c>
      <c r="AJ100" s="226"/>
    </row>
    <row r="101" spans="1:36" ht="18.75" customHeight="1" x14ac:dyDescent="0.15">
      <c r="A101" s="237"/>
      <c r="B101" s="238"/>
      <c r="C101" s="239"/>
      <c r="D101" s="252"/>
      <c r="E101" s="241"/>
      <c r="F101" s="252"/>
      <c r="G101" s="240"/>
      <c r="H101" s="415"/>
      <c r="I101" s="268" t="s">
        <v>184</v>
      </c>
      <c r="J101" s="316" t="s">
        <v>174</v>
      </c>
      <c r="K101" s="316"/>
      <c r="L101" s="316"/>
      <c r="M101" s="247" t="s">
        <v>184</v>
      </c>
      <c r="N101" s="316" t="s">
        <v>175</v>
      </c>
      <c r="O101" s="246"/>
      <c r="P101" s="316"/>
      <c r="Q101" s="316"/>
      <c r="R101" s="246"/>
      <c r="S101" s="316"/>
      <c r="T101" s="316"/>
      <c r="U101" s="248"/>
      <c r="V101" s="246"/>
      <c r="W101" s="316"/>
      <c r="X101" s="249"/>
      <c r="Y101" s="267"/>
      <c r="Z101" s="262"/>
      <c r="AA101" s="262"/>
      <c r="AB101" s="251"/>
      <c r="AC101" s="388"/>
      <c r="AD101" s="389"/>
      <c r="AE101" s="389"/>
      <c r="AF101" s="390"/>
    </row>
    <row r="102" spans="1:36" s="226" customFormat="1" ht="18.75" customHeight="1" x14ac:dyDescent="0.15">
      <c r="A102" s="237"/>
      <c r="B102" s="238"/>
      <c r="C102" s="311"/>
      <c r="D102" s="312"/>
      <c r="E102" s="240"/>
      <c r="F102" s="219"/>
      <c r="G102" s="241"/>
      <c r="H102" s="270" t="s">
        <v>92</v>
      </c>
      <c r="I102" s="254" t="s">
        <v>184</v>
      </c>
      <c r="J102" s="255" t="s">
        <v>185</v>
      </c>
      <c r="K102" s="256"/>
      <c r="L102" s="257"/>
      <c r="M102" s="258" t="s">
        <v>184</v>
      </c>
      <c r="N102" s="255" t="s">
        <v>186</v>
      </c>
      <c r="O102" s="256"/>
      <c r="P102" s="256"/>
      <c r="Q102" s="256"/>
      <c r="R102" s="256"/>
      <c r="S102" s="256"/>
      <c r="T102" s="256"/>
      <c r="U102" s="256"/>
      <c r="V102" s="256"/>
      <c r="W102" s="256"/>
      <c r="X102" s="269"/>
      <c r="Y102" s="267"/>
      <c r="Z102" s="262"/>
      <c r="AA102" s="262"/>
      <c r="AB102" s="251"/>
      <c r="AC102" s="388"/>
      <c r="AD102" s="389"/>
      <c r="AE102" s="389"/>
      <c r="AF102" s="390"/>
      <c r="AI102" s="226" t="str">
        <f>"2B:sintaikousoku_code:" &amp; IF(I102="■",1,IF(M102="■",2,0))</f>
        <v>2B:sintaikousoku_code:0</v>
      </c>
    </row>
    <row r="103" spans="1:36" ht="19.5" customHeight="1" x14ac:dyDescent="0.15">
      <c r="A103" s="237"/>
      <c r="B103" s="238"/>
      <c r="C103" s="239"/>
      <c r="D103" s="252"/>
      <c r="E103" s="240"/>
      <c r="F103" s="219"/>
      <c r="G103" s="241"/>
      <c r="H103" s="253" t="s">
        <v>192</v>
      </c>
      <c r="I103" s="284" t="s">
        <v>184</v>
      </c>
      <c r="J103" s="255" t="s">
        <v>185</v>
      </c>
      <c r="K103" s="256"/>
      <c r="L103" s="257"/>
      <c r="M103" s="258" t="s">
        <v>184</v>
      </c>
      <c r="N103" s="255" t="s">
        <v>193</v>
      </c>
      <c r="O103" s="260"/>
      <c r="P103" s="255"/>
      <c r="Q103" s="260"/>
      <c r="R103" s="260"/>
      <c r="S103" s="260"/>
      <c r="T103" s="260"/>
      <c r="U103" s="260"/>
      <c r="V103" s="260"/>
      <c r="W103" s="260"/>
      <c r="X103" s="261"/>
      <c r="Y103" s="262"/>
      <c r="Z103" s="262"/>
      <c r="AA103" s="262"/>
      <c r="AB103" s="251"/>
      <c r="AC103" s="388"/>
      <c r="AD103" s="389"/>
      <c r="AE103" s="389"/>
      <c r="AF103" s="390"/>
      <c r="AI103" s="226" t="str">
        <f>"2B:field223:" &amp; IF(I103="■",1,IF(M103="■",2,0))</f>
        <v>2B:field223:0</v>
      </c>
    </row>
    <row r="104" spans="1:36" ht="19.5" customHeight="1" x14ac:dyDescent="0.15">
      <c r="A104" s="237"/>
      <c r="B104" s="238"/>
      <c r="C104" s="239"/>
      <c r="D104" s="252"/>
      <c r="E104" s="240"/>
      <c r="F104" s="219"/>
      <c r="G104" s="241"/>
      <c r="H104" s="253" t="s">
        <v>201</v>
      </c>
      <c r="I104" s="284" t="s">
        <v>184</v>
      </c>
      <c r="J104" s="255" t="s">
        <v>185</v>
      </c>
      <c r="K104" s="256"/>
      <c r="L104" s="257"/>
      <c r="M104" s="258" t="s">
        <v>184</v>
      </c>
      <c r="N104" s="255" t="s">
        <v>193</v>
      </c>
      <c r="O104" s="260"/>
      <c r="P104" s="255"/>
      <c r="Q104" s="260"/>
      <c r="R104" s="260"/>
      <c r="S104" s="260"/>
      <c r="T104" s="260"/>
      <c r="U104" s="260"/>
      <c r="V104" s="260"/>
      <c r="W104" s="260"/>
      <c r="X104" s="261"/>
      <c r="Y104" s="262"/>
      <c r="Z104" s="262"/>
      <c r="AA104" s="262"/>
      <c r="AB104" s="251"/>
      <c r="AC104" s="388"/>
      <c r="AD104" s="389"/>
      <c r="AE104" s="389"/>
      <c r="AF104" s="390"/>
      <c r="AI104" s="226" t="str">
        <f>"2B:field232:" &amp; IF(I104="■",1,IF(M104="■",2,0))</f>
        <v>2B:field232:0</v>
      </c>
    </row>
    <row r="105" spans="1:36" ht="18.75" customHeight="1" x14ac:dyDescent="0.15">
      <c r="A105" s="237"/>
      <c r="B105" s="238"/>
      <c r="C105" s="239"/>
      <c r="D105" s="252"/>
      <c r="E105" s="241"/>
      <c r="F105" s="252"/>
      <c r="G105" s="240"/>
      <c r="H105" s="270" t="s">
        <v>112</v>
      </c>
      <c r="I105" s="284" t="s">
        <v>184</v>
      </c>
      <c r="J105" s="255" t="s">
        <v>153</v>
      </c>
      <c r="K105" s="256"/>
      <c r="L105" s="257"/>
      <c r="M105" s="258" t="s">
        <v>184</v>
      </c>
      <c r="N105" s="255" t="s">
        <v>161</v>
      </c>
      <c r="O105" s="260"/>
      <c r="P105" s="260"/>
      <c r="Q105" s="260"/>
      <c r="R105" s="260"/>
      <c r="S105" s="260"/>
      <c r="T105" s="260"/>
      <c r="U105" s="260"/>
      <c r="V105" s="260"/>
      <c r="W105" s="260"/>
      <c r="X105" s="261"/>
      <c r="Y105" s="267"/>
      <c r="Z105" s="262"/>
      <c r="AA105" s="262"/>
      <c r="AB105" s="251"/>
      <c r="AC105" s="388"/>
      <c r="AD105" s="389"/>
      <c r="AE105" s="389"/>
      <c r="AF105" s="390"/>
      <c r="AI105" s="226" t="str">
        <f>"2B:field190:" &amp; IF(I105="■",1,IF(M105="■",2,0))</f>
        <v>2B:field190:0</v>
      </c>
    </row>
    <row r="106" spans="1:36" ht="18.75" customHeight="1" x14ac:dyDescent="0.15">
      <c r="A106" s="237"/>
      <c r="B106" s="238"/>
      <c r="C106" s="239"/>
      <c r="D106" s="252"/>
      <c r="E106" s="241"/>
      <c r="F106" s="252"/>
      <c r="G106" s="240"/>
      <c r="H106" s="270" t="s">
        <v>113</v>
      </c>
      <c r="I106" s="284" t="s">
        <v>184</v>
      </c>
      <c r="J106" s="255" t="s">
        <v>153</v>
      </c>
      <c r="K106" s="256"/>
      <c r="L106" s="257"/>
      <c r="M106" s="258" t="s">
        <v>184</v>
      </c>
      <c r="N106" s="255" t="s">
        <v>161</v>
      </c>
      <c r="O106" s="260"/>
      <c r="P106" s="260"/>
      <c r="Q106" s="260"/>
      <c r="R106" s="260"/>
      <c r="S106" s="260"/>
      <c r="T106" s="260"/>
      <c r="U106" s="260"/>
      <c r="V106" s="260"/>
      <c r="W106" s="260"/>
      <c r="X106" s="261"/>
      <c r="Y106" s="267"/>
      <c r="Z106" s="262"/>
      <c r="AA106" s="262"/>
      <c r="AB106" s="251"/>
      <c r="AC106" s="388"/>
      <c r="AD106" s="389"/>
      <c r="AE106" s="389"/>
      <c r="AF106" s="390"/>
      <c r="AI106" s="226" t="str">
        <f>"2B:field191:" &amp; IF(I106="■",1,IF(M106="■",2,0))</f>
        <v>2B:field191:0</v>
      </c>
    </row>
    <row r="107" spans="1:36" ht="19.5" customHeight="1" x14ac:dyDescent="0.15">
      <c r="A107" s="268" t="s">
        <v>184</v>
      </c>
      <c r="B107" s="238" t="s">
        <v>213</v>
      </c>
      <c r="C107" s="239" t="s">
        <v>211</v>
      </c>
      <c r="D107" s="268" t="s">
        <v>184</v>
      </c>
      <c r="E107" s="241" t="s">
        <v>217</v>
      </c>
      <c r="F107" s="268" t="s">
        <v>184</v>
      </c>
      <c r="G107" s="240" t="s">
        <v>168</v>
      </c>
      <c r="H107" s="253" t="s">
        <v>222</v>
      </c>
      <c r="I107" s="254" t="s">
        <v>184</v>
      </c>
      <c r="J107" s="244" t="s">
        <v>220</v>
      </c>
      <c r="K107" s="245"/>
      <c r="L107" s="246"/>
      <c r="M107" s="258" t="s">
        <v>184</v>
      </c>
      <c r="N107" s="244" t="s">
        <v>221</v>
      </c>
      <c r="O107" s="318"/>
      <c r="P107" s="244"/>
      <c r="Q107" s="248"/>
      <c r="R107" s="248"/>
      <c r="S107" s="248"/>
      <c r="T107" s="248"/>
      <c r="U107" s="248"/>
      <c r="V107" s="248"/>
      <c r="W107" s="248"/>
      <c r="X107" s="249"/>
      <c r="Y107" s="319"/>
      <c r="Z107" s="2"/>
      <c r="AA107" s="262"/>
      <c r="AB107" s="251"/>
      <c r="AC107" s="388"/>
      <c r="AD107" s="389"/>
      <c r="AE107" s="389"/>
      <c r="AF107" s="390"/>
      <c r="AI107" s="226" t="str">
        <f>"2B:field242:" &amp; IF(I107="■",1,IF(M107="■",2,0))</f>
        <v>2B:field242:0</v>
      </c>
    </row>
    <row r="108" spans="1:36" ht="18.75" customHeight="1" x14ac:dyDescent="0.15">
      <c r="A108" s="252"/>
      <c r="B108" s="238"/>
      <c r="C108" s="239"/>
      <c r="D108" s="252"/>
      <c r="E108" s="241"/>
      <c r="F108" s="252"/>
      <c r="G108" s="240"/>
      <c r="H108" s="270" t="s">
        <v>210</v>
      </c>
      <c r="I108" s="284" t="s">
        <v>184</v>
      </c>
      <c r="J108" s="255" t="s">
        <v>142</v>
      </c>
      <c r="K108" s="256"/>
      <c r="L108" s="258" t="s">
        <v>184</v>
      </c>
      <c r="M108" s="255" t="s">
        <v>150</v>
      </c>
      <c r="N108" s="260"/>
      <c r="O108" s="260"/>
      <c r="P108" s="260"/>
      <c r="Q108" s="260"/>
      <c r="R108" s="260"/>
      <c r="S108" s="260"/>
      <c r="T108" s="260"/>
      <c r="U108" s="260"/>
      <c r="V108" s="260"/>
      <c r="W108" s="260"/>
      <c r="X108" s="261"/>
      <c r="Y108" s="267"/>
      <c r="Z108" s="262"/>
      <c r="AA108" s="262"/>
      <c r="AB108" s="251"/>
      <c r="AC108" s="388"/>
      <c r="AD108" s="389"/>
      <c r="AE108" s="389"/>
      <c r="AF108" s="390"/>
      <c r="AI108" s="226" t="str">
        <f>"2B:jyakuninti_uke_code:" &amp; IF(I108="■",1,IF(L108="■",2,0))</f>
        <v>2B:jyakuninti_uke_code:0</v>
      </c>
    </row>
    <row r="109" spans="1:36" ht="18.75" customHeight="1" x14ac:dyDescent="0.15">
      <c r="A109" s="252"/>
      <c r="B109" s="238"/>
      <c r="C109" s="239"/>
      <c r="D109" s="252"/>
      <c r="E109" s="241"/>
      <c r="F109" s="252"/>
      <c r="G109" s="240"/>
      <c r="H109" s="270" t="s">
        <v>88</v>
      </c>
      <c r="I109" s="284" t="s">
        <v>184</v>
      </c>
      <c r="J109" s="255" t="s">
        <v>148</v>
      </c>
      <c r="K109" s="256"/>
      <c r="L109" s="257"/>
      <c r="M109" s="258" t="s">
        <v>184</v>
      </c>
      <c r="N109" s="255" t="s">
        <v>149</v>
      </c>
      <c r="O109" s="260"/>
      <c r="P109" s="260"/>
      <c r="Q109" s="260"/>
      <c r="R109" s="260"/>
      <c r="S109" s="260"/>
      <c r="T109" s="260"/>
      <c r="U109" s="260"/>
      <c r="V109" s="260"/>
      <c r="W109" s="260"/>
      <c r="X109" s="261"/>
      <c r="Y109" s="267"/>
      <c r="Z109" s="262"/>
      <c r="AA109" s="262"/>
      <c r="AB109" s="251"/>
      <c r="AC109" s="388"/>
      <c r="AD109" s="389"/>
      <c r="AE109" s="389"/>
      <c r="AF109" s="390"/>
      <c r="AI109" s="226" t="str">
        <f>"2B:sougei_code:" &amp; IF(I109="■",1,IF(M109="■",2,0))</f>
        <v>2B:sougei_code:0</v>
      </c>
    </row>
    <row r="110" spans="1:36" ht="19.5" customHeight="1" x14ac:dyDescent="0.15">
      <c r="A110" s="237"/>
      <c r="B110" s="238"/>
      <c r="C110" s="239"/>
      <c r="D110" s="252"/>
      <c r="E110" s="241"/>
      <c r="F110" s="252"/>
      <c r="G110" s="240"/>
      <c r="H110" s="253" t="s">
        <v>194</v>
      </c>
      <c r="I110" s="284" t="s">
        <v>184</v>
      </c>
      <c r="J110" s="255" t="s">
        <v>142</v>
      </c>
      <c r="K110" s="255"/>
      <c r="L110" s="258" t="s">
        <v>184</v>
      </c>
      <c r="M110" s="255" t="s">
        <v>150</v>
      </c>
      <c r="N110" s="255"/>
      <c r="O110" s="260"/>
      <c r="P110" s="255"/>
      <c r="Q110" s="260"/>
      <c r="R110" s="260"/>
      <c r="S110" s="260"/>
      <c r="T110" s="260"/>
      <c r="U110" s="260"/>
      <c r="V110" s="260"/>
      <c r="W110" s="260"/>
      <c r="X110" s="261"/>
      <c r="Y110" s="262"/>
      <c r="Z110" s="262"/>
      <c r="AA110" s="262"/>
      <c r="AB110" s="251"/>
      <c r="AC110" s="388"/>
      <c r="AD110" s="389"/>
      <c r="AE110" s="389"/>
      <c r="AF110" s="390"/>
      <c r="AI110" s="226" t="str">
        <f>"2B:field224:" &amp; IF(I110="■",1,IF(L110="■",2,0))</f>
        <v>2B:field224:0</v>
      </c>
    </row>
    <row r="111" spans="1:36" ht="18.75" customHeight="1" x14ac:dyDescent="0.15">
      <c r="A111" s="237"/>
      <c r="B111" s="238"/>
      <c r="C111" s="239"/>
      <c r="D111" s="252"/>
      <c r="E111" s="241"/>
      <c r="F111" s="252"/>
      <c r="G111" s="240"/>
      <c r="H111" s="270" t="s">
        <v>94</v>
      </c>
      <c r="I111" s="284" t="s">
        <v>184</v>
      </c>
      <c r="J111" s="255" t="s">
        <v>142</v>
      </c>
      <c r="K111" s="256"/>
      <c r="L111" s="258" t="s">
        <v>184</v>
      </c>
      <c r="M111" s="255" t="s">
        <v>150</v>
      </c>
      <c r="N111" s="260"/>
      <c r="O111" s="260"/>
      <c r="P111" s="260"/>
      <c r="Q111" s="260"/>
      <c r="R111" s="260"/>
      <c r="S111" s="260"/>
      <c r="T111" s="260"/>
      <c r="U111" s="260"/>
      <c r="V111" s="260"/>
      <c r="W111" s="260"/>
      <c r="X111" s="261"/>
      <c r="Y111" s="267"/>
      <c r="Z111" s="262"/>
      <c r="AA111" s="262"/>
      <c r="AB111" s="251"/>
      <c r="AC111" s="388"/>
      <c r="AD111" s="389"/>
      <c r="AE111" s="389"/>
      <c r="AF111" s="390"/>
      <c r="AI111" s="226" t="str">
        <f>"2B:ryouyoushoku_code:" &amp; IF(I111="■",1,IF(L111="■",2,0))</f>
        <v>2B:ryouyoushoku_code:0</v>
      </c>
    </row>
    <row r="112" spans="1:36" ht="18.75" customHeight="1" x14ac:dyDescent="0.15">
      <c r="A112" s="237"/>
      <c r="B112" s="238"/>
      <c r="C112" s="239"/>
      <c r="D112" s="252"/>
      <c r="E112" s="241"/>
      <c r="F112" s="252"/>
      <c r="G112" s="240"/>
      <c r="H112" s="270" t="s">
        <v>95</v>
      </c>
      <c r="I112" s="284" t="s">
        <v>184</v>
      </c>
      <c r="J112" s="255" t="s">
        <v>142</v>
      </c>
      <c r="K112" s="255"/>
      <c r="L112" s="258" t="s">
        <v>184</v>
      </c>
      <c r="M112" s="255" t="s">
        <v>143</v>
      </c>
      <c r="N112" s="255"/>
      <c r="O112" s="258" t="s">
        <v>184</v>
      </c>
      <c r="P112" s="255" t="s">
        <v>144</v>
      </c>
      <c r="Q112" s="260"/>
      <c r="R112" s="260"/>
      <c r="S112" s="260"/>
      <c r="T112" s="260"/>
      <c r="U112" s="260"/>
      <c r="V112" s="260"/>
      <c r="W112" s="260"/>
      <c r="X112" s="261"/>
      <c r="Y112" s="267"/>
      <c r="Z112" s="262"/>
      <c r="AA112" s="262"/>
      <c r="AB112" s="251"/>
      <c r="AC112" s="388"/>
      <c r="AD112" s="389"/>
      <c r="AE112" s="389"/>
      <c r="AF112" s="390"/>
      <c r="AI112" s="226" t="str">
        <f>"2B:ninti_senmoncare_code:" &amp; IF(I112="■",1,IF(O112="■",3,IF(L112="■",2,0)))</f>
        <v>2B:ninti_senmoncare_code:0</v>
      </c>
    </row>
    <row r="113" spans="1:36" ht="18.75" customHeight="1" x14ac:dyDescent="0.15">
      <c r="A113" s="252"/>
      <c r="B113" s="238"/>
      <c r="C113" s="239"/>
      <c r="D113" s="252"/>
      <c r="E113" s="241"/>
      <c r="F113" s="252"/>
      <c r="G113" s="240"/>
      <c r="H113" s="313" t="s">
        <v>199</v>
      </c>
      <c r="I113" s="284" t="s">
        <v>184</v>
      </c>
      <c r="J113" s="255" t="s">
        <v>142</v>
      </c>
      <c r="K113" s="255"/>
      <c r="L113" s="258" t="s">
        <v>184</v>
      </c>
      <c r="M113" s="255" t="s">
        <v>143</v>
      </c>
      <c r="N113" s="255"/>
      <c r="O113" s="258" t="s">
        <v>184</v>
      </c>
      <c r="P113" s="255" t="s">
        <v>144</v>
      </c>
      <c r="Q113" s="260"/>
      <c r="R113" s="260"/>
      <c r="S113" s="260"/>
      <c r="T113" s="260"/>
      <c r="U113" s="314"/>
      <c r="V113" s="314"/>
      <c r="W113" s="314"/>
      <c r="X113" s="315"/>
      <c r="Y113" s="267"/>
      <c r="Z113" s="262"/>
      <c r="AA113" s="262"/>
      <c r="AB113" s="251"/>
      <c r="AC113" s="388"/>
      <c r="AD113" s="389"/>
      <c r="AE113" s="389"/>
      <c r="AF113" s="390"/>
      <c r="AI113" s="226" t="str">
        <f>"2B:field225:" &amp; IF(I113="■",1,IF(L113="■",2,IF(O113="■",3,0)))</f>
        <v>2B:field225:0</v>
      </c>
    </row>
    <row r="114" spans="1:36" ht="18.75" customHeight="1" x14ac:dyDescent="0.15">
      <c r="A114" s="237"/>
      <c r="B114" s="238"/>
      <c r="C114" s="239"/>
      <c r="D114" s="252"/>
      <c r="E114" s="241"/>
      <c r="F114" s="252"/>
      <c r="G114" s="240"/>
      <c r="H114" s="270" t="s">
        <v>96</v>
      </c>
      <c r="I114" s="284" t="s">
        <v>184</v>
      </c>
      <c r="J114" s="255" t="s">
        <v>142</v>
      </c>
      <c r="K114" s="255"/>
      <c r="L114" s="258" t="s">
        <v>184</v>
      </c>
      <c r="M114" s="255" t="s">
        <v>146</v>
      </c>
      <c r="N114" s="255"/>
      <c r="O114" s="258" t="s">
        <v>184</v>
      </c>
      <c r="P114" s="255" t="s">
        <v>147</v>
      </c>
      <c r="Q114" s="288"/>
      <c r="R114" s="258" t="s">
        <v>184</v>
      </c>
      <c r="S114" s="255" t="s">
        <v>151</v>
      </c>
      <c r="T114" s="288"/>
      <c r="U114" s="288"/>
      <c r="V114" s="288"/>
      <c r="W114" s="288"/>
      <c r="X114" s="289"/>
      <c r="Y114" s="267"/>
      <c r="Z114" s="262"/>
      <c r="AA114" s="262"/>
      <c r="AB114" s="251"/>
      <c r="AC114" s="388"/>
      <c r="AD114" s="389"/>
      <c r="AE114" s="389"/>
      <c r="AF114" s="390"/>
      <c r="AI114" s="226" t="str">
        <f>"2B:serteikyo_kyoka_code:" &amp; IF(I114="■",1,IF(L114="■",6,IF(O114="■",5,IF(R114="■",7,0))))</f>
        <v>2B:serteikyo_kyoka_code:0</v>
      </c>
    </row>
    <row r="115" spans="1:36" ht="18.75" customHeight="1" x14ac:dyDescent="0.15">
      <c r="A115" s="237"/>
      <c r="B115" s="238"/>
      <c r="C115" s="239"/>
      <c r="D115" s="252"/>
      <c r="E115" s="241"/>
      <c r="F115" s="252"/>
      <c r="G115" s="240"/>
      <c r="H115" s="402" t="s">
        <v>209</v>
      </c>
      <c r="I115" s="417" t="s">
        <v>184</v>
      </c>
      <c r="J115" s="418" t="s">
        <v>142</v>
      </c>
      <c r="K115" s="418"/>
      <c r="L115" s="417" t="s">
        <v>184</v>
      </c>
      <c r="M115" s="418" t="s">
        <v>150</v>
      </c>
      <c r="N115" s="418"/>
      <c r="O115" s="322"/>
      <c r="P115" s="322"/>
      <c r="Q115" s="322"/>
      <c r="R115" s="322"/>
      <c r="S115" s="322"/>
      <c r="T115" s="322"/>
      <c r="U115" s="322"/>
      <c r="V115" s="322"/>
      <c r="W115" s="322"/>
      <c r="X115" s="323"/>
      <c r="Y115" s="267"/>
      <c r="Z115" s="262"/>
      <c r="AA115" s="262"/>
      <c r="AB115" s="251"/>
      <c r="AC115" s="388"/>
      <c r="AD115" s="389"/>
      <c r="AE115" s="389"/>
      <c r="AF115" s="390"/>
      <c r="AI115" s="226" t="str">
        <f>"2B:field221:" &amp; IF(I115="■",1,IF(L115="■",2,0))</f>
        <v>2B:field221:0</v>
      </c>
    </row>
    <row r="116" spans="1:36" ht="18.75" customHeight="1" x14ac:dyDescent="0.15">
      <c r="A116" s="237"/>
      <c r="B116" s="238"/>
      <c r="C116" s="239"/>
      <c r="D116" s="252"/>
      <c r="E116" s="241"/>
      <c r="F116" s="252"/>
      <c r="G116" s="240"/>
      <c r="H116" s="382"/>
      <c r="I116" s="417"/>
      <c r="J116" s="418"/>
      <c r="K116" s="418"/>
      <c r="L116" s="417"/>
      <c r="M116" s="418"/>
      <c r="N116" s="418"/>
      <c r="O116" s="316"/>
      <c r="P116" s="316"/>
      <c r="Q116" s="316"/>
      <c r="R116" s="316"/>
      <c r="S116" s="316"/>
      <c r="T116" s="316"/>
      <c r="U116" s="316"/>
      <c r="V116" s="316"/>
      <c r="W116" s="316"/>
      <c r="X116" s="317"/>
      <c r="Y116" s="267"/>
      <c r="Z116" s="262"/>
      <c r="AA116" s="262"/>
      <c r="AB116" s="251"/>
      <c r="AC116" s="388"/>
      <c r="AD116" s="389"/>
      <c r="AE116" s="389"/>
      <c r="AF116" s="390"/>
    </row>
    <row r="117" spans="1:36" ht="18.75" customHeight="1" x14ac:dyDescent="0.15">
      <c r="A117" s="271"/>
      <c r="B117" s="216"/>
      <c r="C117" s="272"/>
      <c r="D117" s="231"/>
      <c r="E117" s="236"/>
      <c r="F117" s="220"/>
      <c r="G117" s="273"/>
      <c r="H117" s="274" t="s">
        <v>208</v>
      </c>
      <c r="I117" s="275" t="s">
        <v>184</v>
      </c>
      <c r="J117" s="43" t="s">
        <v>142</v>
      </c>
      <c r="K117" s="43"/>
      <c r="L117" s="276" t="s">
        <v>184</v>
      </c>
      <c r="M117" s="43" t="s">
        <v>195</v>
      </c>
      <c r="N117" s="277"/>
      <c r="O117" s="276" t="s">
        <v>184</v>
      </c>
      <c r="P117" s="233" t="s">
        <v>196</v>
      </c>
      <c r="Q117" s="278"/>
      <c r="R117" s="276" t="s">
        <v>184</v>
      </c>
      <c r="S117" s="43" t="s">
        <v>197</v>
      </c>
      <c r="T117" s="278"/>
      <c r="U117" s="276" t="s">
        <v>184</v>
      </c>
      <c r="V117" s="43" t="s">
        <v>198</v>
      </c>
      <c r="W117" s="279"/>
      <c r="X117" s="280"/>
      <c r="Y117" s="281"/>
      <c r="Z117" s="281"/>
      <c r="AA117" s="281"/>
      <c r="AB117" s="282"/>
      <c r="AC117" s="391"/>
      <c r="AD117" s="392"/>
      <c r="AE117" s="392"/>
      <c r="AF117" s="393"/>
      <c r="AG117" s="226"/>
      <c r="AH117" s="226"/>
      <c r="AI117" s="226" t="str">
        <f>"2B:shoguukaizen_code:"&amp;IF(I117="■",1,IF(L117="■",7,IF(O117="■",8,IF(R117="■",9,IF(U117="■","A",0)))))</f>
        <v>2B:shoguukaizen_code:0</v>
      </c>
    </row>
    <row r="118" spans="1:36" ht="18.75" customHeight="1" x14ac:dyDescent="0.15">
      <c r="A118" s="41"/>
      <c r="B118" s="214"/>
      <c r="C118" s="293"/>
      <c r="D118" s="6"/>
      <c r="E118" s="229"/>
      <c r="F118" s="217"/>
      <c r="G118" s="229"/>
      <c r="H118" s="414" t="s">
        <v>89</v>
      </c>
      <c r="I118" s="297" t="s">
        <v>184</v>
      </c>
      <c r="J118" s="22" t="s">
        <v>153</v>
      </c>
      <c r="K118" s="320"/>
      <c r="L118" s="218"/>
      <c r="M118" s="227" t="s">
        <v>184</v>
      </c>
      <c r="N118" s="22" t="s">
        <v>157</v>
      </c>
      <c r="O118" s="7"/>
      <c r="P118" s="7"/>
      <c r="Q118" s="227" t="s">
        <v>184</v>
      </c>
      <c r="R118" s="22" t="s">
        <v>158</v>
      </c>
      <c r="S118" s="7"/>
      <c r="T118" s="7"/>
      <c r="U118" s="227" t="s">
        <v>184</v>
      </c>
      <c r="V118" s="22" t="s">
        <v>159</v>
      </c>
      <c r="W118" s="7"/>
      <c r="X118" s="4"/>
      <c r="Y118" s="227" t="s">
        <v>184</v>
      </c>
      <c r="Z118" s="22" t="s">
        <v>141</v>
      </c>
      <c r="AA118" s="22"/>
      <c r="AB118" s="302"/>
      <c r="AC118" s="385"/>
      <c r="AD118" s="386"/>
      <c r="AE118" s="386"/>
      <c r="AF118" s="387"/>
      <c r="AG118" s="226" t="str">
        <f>"ser_code = '" &amp; IF(A129="■","2B","") &amp; "'"</f>
        <v>ser_code = ''</v>
      </c>
      <c r="AH118" s="226" t="str">
        <f>"2B:jininkbn_code:"&amp;IF(F129="■",1,IF(F130="■",2,0))</f>
        <v>2B:jininkbn_code:0</v>
      </c>
      <c r="AI118" s="226" t="str">
        <f>"2B:yakan_kinmu_code:" &amp; IF(I118="■",1,IF(M118="■",2,IF(Q118="■",3,IF(U118="■",7,IF(I119="■",5,IF(M119="■",6,0))))))</f>
        <v>2B:yakan_kinmu_code:0</v>
      </c>
      <c r="AJ118" s="226" t="str">
        <f>"2B:field203:" &amp; IF(Y118="■",1,IF(Y119="■",2,0))</f>
        <v>2B:field203:0</v>
      </c>
    </row>
    <row r="119" spans="1:36" ht="18.75" customHeight="1" x14ac:dyDescent="0.15">
      <c r="A119" s="237"/>
      <c r="B119" s="238"/>
      <c r="C119" s="239"/>
      <c r="D119" s="252"/>
      <c r="E119" s="240"/>
      <c r="F119" s="219"/>
      <c r="G119" s="240"/>
      <c r="H119" s="415"/>
      <c r="I119" s="268" t="s">
        <v>184</v>
      </c>
      <c r="J119" s="244" t="s">
        <v>160</v>
      </c>
      <c r="K119" s="245"/>
      <c r="L119" s="246"/>
      <c r="M119" s="247" t="s">
        <v>184</v>
      </c>
      <c r="N119" s="244" t="s">
        <v>154</v>
      </c>
      <c r="O119" s="316"/>
      <c r="P119" s="316"/>
      <c r="Q119" s="316"/>
      <c r="R119" s="316"/>
      <c r="S119" s="316"/>
      <c r="T119" s="316"/>
      <c r="U119" s="316"/>
      <c r="V119" s="316"/>
      <c r="W119" s="316"/>
      <c r="X119" s="317"/>
      <c r="Y119" s="250" t="s">
        <v>184</v>
      </c>
      <c r="Z119" s="2" t="s">
        <v>145</v>
      </c>
      <c r="AA119" s="262"/>
      <c r="AB119" s="251"/>
      <c r="AC119" s="388"/>
      <c r="AD119" s="389"/>
      <c r="AE119" s="389"/>
      <c r="AF119" s="390"/>
      <c r="AG119" s="226" t="str">
        <f>"2B:sisetukbn_code:"&amp;IF(D129="■","4",0)</f>
        <v>2B:sisetukbn_code:0</v>
      </c>
      <c r="AH119" s="226"/>
      <c r="AI119" s="226"/>
      <c r="AJ119" s="226"/>
    </row>
    <row r="120" spans="1:36" ht="18.75" customHeight="1" x14ac:dyDescent="0.15">
      <c r="A120" s="237"/>
      <c r="B120" s="238"/>
      <c r="C120" s="239"/>
      <c r="D120" s="252"/>
      <c r="E120" s="240"/>
      <c r="F120" s="219"/>
      <c r="G120" s="240"/>
      <c r="H120" s="416" t="s">
        <v>87</v>
      </c>
      <c r="I120" s="284" t="s">
        <v>184</v>
      </c>
      <c r="J120" s="286" t="s">
        <v>142</v>
      </c>
      <c r="K120" s="286"/>
      <c r="L120" s="321"/>
      <c r="M120" s="285" t="s">
        <v>184</v>
      </c>
      <c r="N120" s="286" t="s">
        <v>152</v>
      </c>
      <c r="O120" s="286"/>
      <c r="P120" s="321"/>
      <c r="Q120" s="285" t="s">
        <v>184</v>
      </c>
      <c r="R120" s="322" t="s">
        <v>173</v>
      </c>
      <c r="S120" s="322"/>
      <c r="T120" s="322"/>
      <c r="U120" s="314"/>
      <c r="V120" s="321"/>
      <c r="W120" s="322"/>
      <c r="X120" s="315"/>
      <c r="Y120" s="267"/>
      <c r="Z120" s="262"/>
      <c r="AA120" s="262"/>
      <c r="AB120" s="251"/>
      <c r="AC120" s="388"/>
      <c r="AD120" s="389"/>
      <c r="AE120" s="389"/>
      <c r="AF120" s="390"/>
      <c r="AI120" s="226" t="str">
        <f>"2B:"&amp;IF(AND(I120="□",M120="□",Q120="□",I121="□",M121="□"),"ketu_doctor_code:0",IF(I120="■","ketu_doctor_code:1:field197:1:ketu_kangos_code:1:ketu_kshoku_code:1",IF(M120="■","ketu_doctor_code:2","ketu_doctor_code:1")
&amp;IF(Q120="■",":field197:2",":field197:1")
&amp;IF(I121="■",":ketu_kangos_code:2",":ketu_kangos_code:1")
&amp;IF(M121="■",":ketu_kshoku_code:2",":ketu_kshoku_code:1")))</f>
        <v>2B:ketu_doctor_code:0</v>
      </c>
    </row>
    <row r="121" spans="1:36" ht="18.75" customHeight="1" x14ac:dyDescent="0.15">
      <c r="A121" s="237"/>
      <c r="B121" s="238"/>
      <c r="C121" s="239"/>
      <c r="D121" s="252"/>
      <c r="E121" s="240"/>
      <c r="F121" s="219"/>
      <c r="G121" s="240"/>
      <c r="H121" s="415"/>
      <c r="I121" s="268" t="s">
        <v>184</v>
      </c>
      <c r="J121" s="316" t="s">
        <v>174</v>
      </c>
      <c r="K121" s="316"/>
      <c r="L121" s="316"/>
      <c r="M121" s="247" t="s">
        <v>184</v>
      </c>
      <c r="N121" s="316" t="s">
        <v>175</v>
      </c>
      <c r="O121" s="246"/>
      <c r="P121" s="316"/>
      <c r="Q121" s="316"/>
      <c r="R121" s="246"/>
      <c r="S121" s="316"/>
      <c r="T121" s="316"/>
      <c r="U121" s="248"/>
      <c r="V121" s="246"/>
      <c r="W121" s="316"/>
      <c r="X121" s="249"/>
      <c r="Y121" s="267"/>
      <c r="Z121" s="262"/>
      <c r="AA121" s="262"/>
      <c r="AB121" s="251"/>
      <c r="AC121" s="388"/>
      <c r="AD121" s="389"/>
      <c r="AE121" s="389"/>
      <c r="AF121" s="390"/>
      <c r="AI121" s="226"/>
    </row>
    <row r="122" spans="1:36" ht="18.75" customHeight="1" x14ac:dyDescent="0.15">
      <c r="A122" s="237"/>
      <c r="B122" s="238"/>
      <c r="C122" s="239"/>
      <c r="D122" s="252"/>
      <c r="E122" s="240"/>
      <c r="F122" s="219"/>
      <c r="G122" s="240"/>
      <c r="H122" s="270" t="s">
        <v>90</v>
      </c>
      <c r="I122" s="284" t="s">
        <v>184</v>
      </c>
      <c r="J122" s="255" t="s">
        <v>148</v>
      </c>
      <c r="K122" s="256"/>
      <c r="L122" s="257"/>
      <c r="M122" s="258" t="s">
        <v>184</v>
      </c>
      <c r="N122" s="255" t="s">
        <v>149</v>
      </c>
      <c r="O122" s="260"/>
      <c r="P122" s="260"/>
      <c r="Q122" s="260"/>
      <c r="R122" s="260"/>
      <c r="S122" s="260"/>
      <c r="T122" s="260"/>
      <c r="U122" s="260"/>
      <c r="V122" s="260"/>
      <c r="W122" s="260"/>
      <c r="X122" s="261"/>
      <c r="Y122" s="267"/>
      <c r="Z122" s="262"/>
      <c r="AA122" s="262"/>
      <c r="AB122" s="251"/>
      <c r="AC122" s="388"/>
      <c r="AD122" s="389"/>
      <c r="AE122" s="389"/>
      <c r="AF122" s="390"/>
      <c r="AI122" s="226" t="str">
        <f>"2B:unitcare_code:" &amp; IF(I122="■",1,IF(M122="■",2,0))</f>
        <v>2B:unitcare_code:0</v>
      </c>
    </row>
    <row r="123" spans="1:36" s="226" customFormat="1" ht="18.75" customHeight="1" x14ac:dyDescent="0.15">
      <c r="A123" s="237"/>
      <c r="B123" s="238"/>
      <c r="C123" s="311"/>
      <c r="D123" s="312"/>
      <c r="E123" s="240"/>
      <c r="F123" s="219"/>
      <c r="G123" s="241"/>
      <c r="H123" s="270" t="s">
        <v>92</v>
      </c>
      <c r="I123" s="254" t="s">
        <v>184</v>
      </c>
      <c r="J123" s="255" t="s">
        <v>185</v>
      </c>
      <c r="K123" s="256"/>
      <c r="L123" s="257"/>
      <c r="M123" s="258" t="s">
        <v>184</v>
      </c>
      <c r="N123" s="255" t="s">
        <v>186</v>
      </c>
      <c r="O123" s="256"/>
      <c r="P123" s="256"/>
      <c r="Q123" s="256"/>
      <c r="R123" s="256"/>
      <c r="S123" s="256"/>
      <c r="T123" s="256"/>
      <c r="U123" s="256"/>
      <c r="V123" s="256"/>
      <c r="W123" s="256"/>
      <c r="X123" s="269"/>
      <c r="Y123" s="267"/>
      <c r="Z123" s="262"/>
      <c r="AA123" s="262"/>
      <c r="AB123" s="251"/>
      <c r="AC123" s="388"/>
      <c r="AD123" s="389"/>
      <c r="AE123" s="389"/>
      <c r="AF123" s="390"/>
      <c r="AI123" s="226" t="str">
        <f>"2B:sintaikousoku_code:" &amp; IF(I123="■",1,IF(M123="■",2,0))</f>
        <v>2B:sintaikousoku_code:0</v>
      </c>
    </row>
    <row r="124" spans="1:36" ht="19.5" customHeight="1" x14ac:dyDescent="0.15">
      <c r="A124" s="237"/>
      <c r="B124" s="238"/>
      <c r="C124" s="239"/>
      <c r="D124" s="252"/>
      <c r="E124" s="240"/>
      <c r="F124" s="219"/>
      <c r="G124" s="241"/>
      <c r="H124" s="253" t="s">
        <v>192</v>
      </c>
      <c r="I124" s="284" t="s">
        <v>184</v>
      </c>
      <c r="J124" s="255" t="s">
        <v>185</v>
      </c>
      <c r="K124" s="256"/>
      <c r="L124" s="257"/>
      <c r="M124" s="258" t="s">
        <v>184</v>
      </c>
      <c r="N124" s="255" t="s">
        <v>193</v>
      </c>
      <c r="O124" s="260"/>
      <c r="P124" s="255"/>
      <c r="Q124" s="260"/>
      <c r="R124" s="260"/>
      <c r="S124" s="260"/>
      <c r="T124" s="260"/>
      <c r="U124" s="260"/>
      <c r="V124" s="260"/>
      <c r="W124" s="260"/>
      <c r="X124" s="261"/>
      <c r="Y124" s="262"/>
      <c r="Z124" s="262"/>
      <c r="AA124" s="262"/>
      <c r="AB124" s="251"/>
      <c r="AC124" s="388"/>
      <c r="AD124" s="389"/>
      <c r="AE124" s="389"/>
      <c r="AF124" s="390"/>
      <c r="AI124" s="226" t="str">
        <f>"2B:field223:" &amp; IF(I124="■",1,IF(M124="■",2,0))</f>
        <v>2B:field223:0</v>
      </c>
    </row>
    <row r="125" spans="1:36" ht="19.5" customHeight="1" x14ac:dyDescent="0.15">
      <c r="A125" s="237"/>
      <c r="B125" s="238"/>
      <c r="C125" s="239"/>
      <c r="D125" s="252"/>
      <c r="E125" s="240"/>
      <c r="F125" s="219"/>
      <c r="G125" s="241"/>
      <c r="H125" s="253" t="s">
        <v>201</v>
      </c>
      <c r="I125" s="284" t="s">
        <v>184</v>
      </c>
      <c r="J125" s="255" t="s">
        <v>185</v>
      </c>
      <c r="K125" s="256"/>
      <c r="L125" s="257"/>
      <c r="M125" s="258" t="s">
        <v>184</v>
      </c>
      <c r="N125" s="255" t="s">
        <v>193</v>
      </c>
      <c r="O125" s="260"/>
      <c r="P125" s="255"/>
      <c r="Q125" s="260"/>
      <c r="R125" s="260"/>
      <c r="S125" s="260"/>
      <c r="T125" s="260"/>
      <c r="U125" s="260"/>
      <c r="V125" s="260"/>
      <c r="W125" s="260"/>
      <c r="X125" s="261"/>
      <c r="Y125" s="262"/>
      <c r="Z125" s="262"/>
      <c r="AA125" s="262"/>
      <c r="AB125" s="251"/>
      <c r="AC125" s="388"/>
      <c r="AD125" s="389"/>
      <c r="AE125" s="389"/>
      <c r="AF125" s="390"/>
      <c r="AI125" s="226" t="str">
        <f>"2B:field232:" &amp; IF(I125="■",1,IF(M125="■",2,0))</f>
        <v>2B:field232:0</v>
      </c>
    </row>
    <row r="126" spans="1:36" ht="18.75" customHeight="1" x14ac:dyDescent="0.15">
      <c r="A126" s="237"/>
      <c r="B126" s="238"/>
      <c r="C126" s="239"/>
      <c r="D126" s="252"/>
      <c r="E126" s="240"/>
      <c r="F126" s="219"/>
      <c r="G126" s="240"/>
      <c r="H126" s="270" t="s">
        <v>112</v>
      </c>
      <c r="I126" s="284" t="s">
        <v>184</v>
      </c>
      <c r="J126" s="255" t="s">
        <v>153</v>
      </c>
      <c r="K126" s="256"/>
      <c r="L126" s="257"/>
      <c r="M126" s="258" t="s">
        <v>184</v>
      </c>
      <c r="N126" s="255" t="s">
        <v>161</v>
      </c>
      <c r="O126" s="260"/>
      <c r="P126" s="260"/>
      <c r="Q126" s="260"/>
      <c r="R126" s="260"/>
      <c r="S126" s="260"/>
      <c r="T126" s="260"/>
      <c r="U126" s="260"/>
      <c r="V126" s="260"/>
      <c r="W126" s="260"/>
      <c r="X126" s="261"/>
      <c r="Y126" s="267"/>
      <c r="Z126" s="262"/>
      <c r="AA126" s="262"/>
      <c r="AB126" s="251"/>
      <c r="AC126" s="388"/>
      <c r="AD126" s="389"/>
      <c r="AE126" s="389"/>
      <c r="AF126" s="390"/>
      <c r="AI126" s="226" t="str">
        <f>"2B:field190:" &amp; IF(I126="■",1,IF(M126="■",2,0))</f>
        <v>2B:field190:0</v>
      </c>
    </row>
    <row r="127" spans="1:36" ht="18.75" customHeight="1" x14ac:dyDescent="0.15">
      <c r="A127" s="237"/>
      <c r="B127" s="238"/>
      <c r="C127" s="239"/>
      <c r="D127" s="252"/>
      <c r="E127" s="240"/>
      <c r="F127" s="219"/>
      <c r="G127" s="240"/>
      <c r="H127" s="270" t="s">
        <v>113</v>
      </c>
      <c r="I127" s="284" t="s">
        <v>184</v>
      </c>
      <c r="J127" s="255" t="s">
        <v>153</v>
      </c>
      <c r="K127" s="256"/>
      <c r="L127" s="257"/>
      <c r="M127" s="258" t="s">
        <v>184</v>
      </c>
      <c r="N127" s="255" t="s">
        <v>161</v>
      </c>
      <c r="O127" s="260"/>
      <c r="P127" s="260"/>
      <c r="Q127" s="260"/>
      <c r="R127" s="260"/>
      <c r="S127" s="260"/>
      <c r="T127" s="260"/>
      <c r="U127" s="260"/>
      <c r="V127" s="260"/>
      <c r="W127" s="260"/>
      <c r="X127" s="261"/>
      <c r="Y127" s="267"/>
      <c r="Z127" s="262"/>
      <c r="AA127" s="262"/>
      <c r="AB127" s="251"/>
      <c r="AC127" s="388"/>
      <c r="AD127" s="389"/>
      <c r="AE127" s="389"/>
      <c r="AF127" s="390"/>
      <c r="AI127" s="226" t="str">
        <f>"2B:field191:" &amp; IF(I127="■",1,IF(M127="■",2,0))</f>
        <v>2B:field191:0</v>
      </c>
    </row>
    <row r="128" spans="1:36" ht="18.75" customHeight="1" x14ac:dyDescent="0.15">
      <c r="A128" s="237"/>
      <c r="B128" s="238"/>
      <c r="C128" s="239"/>
      <c r="D128" s="252"/>
      <c r="E128" s="240"/>
      <c r="F128" s="219"/>
      <c r="G128" s="240"/>
      <c r="H128" s="270" t="s">
        <v>210</v>
      </c>
      <c r="I128" s="284" t="s">
        <v>184</v>
      </c>
      <c r="J128" s="255" t="s">
        <v>142</v>
      </c>
      <c r="K128" s="256"/>
      <c r="L128" s="258" t="s">
        <v>184</v>
      </c>
      <c r="M128" s="255" t="s">
        <v>150</v>
      </c>
      <c r="N128" s="260"/>
      <c r="O128" s="260"/>
      <c r="P128" s="260"/>
      <c r="Q128" s="260"/>
      <c r="R128" s="260"/>
      <c r="S128" s="260"/>
      <c r="T128" s="260"/>
      <c r="U128" s="260"/>
      <c r="V128" s="260"/>
      <c r="W128" s="260"/>
      <c r="X128" s="261"/>
      <c r="Y128" s="267"/>
      <c r="Z128" s="262"/>
      <c r="AA128" s="262"/>
      <c r="AB128" s="251"/>
      <c r="AC128" s="388"/>
      <c r="AD128" s="389"/>
      <c r="AE128" s="389"/>
      <c r="AF128" s="390"/>
      <c r="AI128" s="226" t="str">
        <f>"2B:jyakuninti_uke_code:" &amp; IF(I128="■",1,IF(L128="■",2,0))</f>
        <v>2B:jyakuninti_uke_code:0</v>
      </c>
    </row>
    <row r="129" spans="1:36" ht="18.75" customHeight="1" x14ac:dyDescent="0.15">
      <c r="A129" s="268" t="s">
        <v>184</v>
      </c>
      <c r="B129" s="238" t="s">
        <v>213</v>
      </c>
      <c r="C129" s="239" t="s">
        <v>211</v>
      </c>
      <c r="D129" s="268" t="s">
        <v>184</v>
      </c>
      <c r="E129" s="240" t="s">
        <v>218</v>
      </c>
      <c r="F129" s="268" t="s">
        <v>184</v>
      </c>
      <c r="G129" s="240" t="s">
        <v>169</v>
      </c>
      <c r="H129" s="270" t="s">
        <v>88</v>
      </c>
      <c r="I129" s="284" t="s">
        <v>184</v>
      </c>
      <c r="J129" s="255" t="s">
        <v>148</v>
      </c>
      <c r="K129" s="256"/>
      <c r="L129" s="257"/>
      <c r="M129" s="258" t="s">
        <v>184</v>
      </c>
      <c r="N129" s="255" t="s">
        <v>149</v>
      </c>
      <c r="O129" s="260"/>
      <c r="P129" s="260"/>
      <c r="Q129" s="260"/>
      <c r="R129" s="260"/>
      <c r="S129" s="260"/>
      <c r="T129" s="260"/>
      <c r="U129" s="260"/>
      <c r="V129" s="260"/>
      <c r="W129" s="260"/>
      <c r="X129" s="261"/>
      <c r="Y129" s="267"/>
      <c r="Z129" s="262"/>
      <c r="AA129" s="262"/>
      <c r="AB129" s="251"/>
      <c r="AC129" s="388"/>
      <c r="AD129" s="389"/>
      <c r="AE129" s="389"/>
      <c r="AF129" s="390"/>
      <c r="AI129" s="226" t="str">
        <f>"2B:sougei_code:" &amp; IF(I129="■",1,IF(M129="■",2,0))</f>
        <v>2B:sougei_code:0</v>
      </c>
    </row>
    <row r="130" spans="1:36" ht="19.5" customHeight="1" x14ac:dyDescent="0.15">
      <c r="A130" s="237"/>
      <c r="B130" s="238"/>
      <c r="C130" s="239"/>
      <c r="D130" s="252"/>
      <c r="E130" s="240"/>
      <c r="F130" s="268" t="s">
        <v>184</v>
      </c>
      <c r="G130" s="240" t="s">
        <v>170</v>
      </c>
      <c r="H130" s="253" t="s">
        <v>194</v>
      </c>
      <c r="I130" s="284" t="s">
        <v>184</v>
      </c>
      <c r="J130" s="255" t="s">
        <v>142</v>
      </c>
      <c r="K130" s="255"/>
      <c r="L130" s="258" t="s">
        <v>184</v>
      </c>
      <c r="M130" s="255" t="s">
        <v>150</v>
      </c>
      <c r="N130" s="255"/>
      <c r="O130" s="260"/>
      <c r="P130" s="255"/>
      <c r="Q130" s="260"/>
      <c r="R130" s="260"/>
      <c r="S130" s="260"/>
      <c r="T130" s="260"/>
      <c r="U130" s="260"/>
      <c r="V130" s="260"/>
      <c r="W130" s="260"/>
      <c r="X130" s="261"/>
      <c r="Y130" s="262"/>
      <c r="Z130" s="262"/>
      <c r="AA130" s="262"/>
      <c r="AB130" s="251"/>
      <c r="AC130" s="388"/>
      <c r="AD130" s="389"/>
      <c r="AE130" s="389"/>
      <c r="AF130" s="390"/>
      <c r="AI130" s="226" t="str">
        <f>"2B:field224:" &amp; IF(I130="■",1,IF(L130="■",2,0))</f>
        <v>2B:field224:0</v>
      </c>
    </row>
    <row r="131" spans="1:36" ht="18.75" customHeight="1" x14ac:dyDescent="0.15">
      <c r="A131" s="237"/>
      <c r="B131" s="238"/>
      <c r="C131" s="239"/>
      <c r="D131" s="252"/>
      <c r="E131" s="240"/>
      <c r="F131" s="219"/>
      <c r="G131" s="240"/>
      <c r="H131" s="270" t="s">
        <v>94</v>
      </c>
      <c r="I131" s="284" t="s">
        <v>184</v>
      </c>
      <c r="J131" s="255" t="s">
        <v>142</v>
      </c>
      <c r="K131" s="256"/>
      <c r="L131" s="258" t="s">
        <v>184</v>
      </c>
      <c r="M131" s="255" t="s">
        <v>150</v>
      </c>
      <c r="N131" s="260"/>
      <c r="O131" s="260"/>
      <c r="P131" s="260"/>
      <c r="Q131" s="260"/>
      <c r="R131" s="260"/>
      <c r="S131" s="260"/>
      <c r="T131" s="260"/>
      <c r="U131" s="260"/>
      <c r="V131" s="260"/>
      <c r="W131" s="260"/>
      <c r="X131" s="261"/>
      <c r="Y131" s="267"/>
      <c r="Z131" s="262"/>
      <c r="AA131" s="262"/>
      <c r="AB131" s="251"/>
      <c r="AC131" s="388"/>
      <c r="AD131" s="389"/>
      <c r="AE131" s="389"/>
      <c r="AF131" s="390"/>
      <c r="AI131" s="226" t="str">
        <f>"2B:ryouyoushoku_code:" &amp; IF(I131="■",1,IF(L131="■",2,0))</f>
        <v>2B:ryouyoushoku_code:0</v>
      </c>
    </row>
    <row r="132" spans="1:36" ht="18.75" customHeight="1" x14ac:dyDescent="0.15">
      <c r="A132" s="237"/>
      <c r="B132" s="238"/>
      <c r="C132" s="239"/>
      <c r="D132" s="252"/>
      <c r="E132" s="240"/>
      <c r="F132" s="219"/>
      <c r="G132" s="240"/>
      <c r="H132" s="270" t="s">
        <v>95</v>
      </c>
      <c r="I132" s="284" t="s">
        <v>184</v>
      </c>
      <c r="J132" s="255" t="s">
        <v>142</v>
      </c>
      <c r="K132" s="255"/>
      <c r="L132" s="258" t="s">
        <v>184</v>
      </c>
      <c r="M132" s="255" t="s">
        <v>143</v>
      </c>
      <c r="N132" s="255"/>
      <c r="O132" s="258" t="s">
        <v>184</v>
      </c>
      <c r="P132" s="255" t="s">
        <v>144</v>
      </c>
      <c r="Q132" s="260"/>
      <c r="R132" s="260"/>
      <c r="S132" s="260"/>
      <c r="T132" s="260"/>
      <c r="U132" s="260"/>
      <c r="V132" s="260"/>
      <c r="W132" s="260"/>
      <c r="X132" s="261"/>
      <c r="Y132" s="267"/>
      <c r="Z132" s="262"/>
      <c r="AA132" s="262"/>
      <c r="AB132" s="251"/>
      <c r="AC132" s="388"/>
      <c r="AD132" s="389"/>
      <c r="AE132" s="389"/>
      <c r="AF132" s="390"/>
      <c r="AI132" s="226" t="str">
        <f>"2B:ninti_senmoncare_code:" &amp; IF(I132="■",1,IF(O132="■",3,IF(L132="■",2,0)))</f>
        <v>2B:ninti_senmoncare_code:0</v>
      </c>
    </row>
    <row r="133" spans="1:36" ht="18.75" customHeight="1" x14ac:dyDescent="0.15">
      <c r="A133" s="237"/>
      <c r="B133" s="238"/>
      <c r="C133" s="239"/>
      <c r="D133" s="252"/>
      <c r="E133" s="240"/>
      <c r="F133" s="219"/>
      <c r="G133" s="240"/>
      <c r="H133" s="416" t="s">
        <v>108</v>
      </c>
      <c r="I133" s="284" t="s">
        <v>184</v>
      </c>
      <c r="J133" s="286" t="s">
        <v>155</v>
      </c>
      <c r="K133" s="286"/>
      <c r="L133" s="314"/>
      <c r="M133" s="314"/>
      <c r="N133" s="314"/>
      <c r="O133" s="314"/>
      <c r="P133" s="285" t="s">
        <v>184</v>
      </c>
      <c r="Q133" s="286" t="s">
        <v>156</v>
      </c>
      <c r="R133" s="314"/>
      <c r="S133" s="314"/>
      <c r="T133" s="314"/>
      <c r="U133" s="314"/>
      <c r="V133" s="314"/>
      <c r="W133" s="314"/>
      <c r="X133" s="315"/>
      <c r="Y133" s="267"/>
      <c r="Z133" s="262"/>
      <c r="AA133" s="262"/>
      <c r="AB133" s="251"/>
      <c r="AC133" s="388"/>
      <c r="AD133" s="389"/>
      <c r="AE133" s="389"/>
      <c r="AF133" s="390"/>
      <c r="AI133" s="226" t="str">
        <f>"2B:" &amp; IF(AND(I133="□",P133="□",I134="□"),"tokusin_jyusho_code:0:tokusin_yakuzai_code:0:shuudan_comu_code:0",IF(I133="■","tokusin_jyusho_code:2","tokusin_jyusho_code:1")
&amp;IF(P133="■",":tokusin_yakuzai_code:2",":tokusin_yakuzai_code:1")
&amp;IF(I134="■",":shuudan_comu_code:2",":shuudan_comu_code:1"))</f>
        <v>2B:tokusin_jyusho_code:0:tokusin_yakuzai_code:0:shuudan_comu_code:0</v>
      </c>
    </row>
    <row r="134" spans="1:36" ht="18.75" customHeight="1" x14ac:dyDescent="0.15">
      <c r="A134" s="237"/>
      <c r="B134" s="238"/>
      <c r="C134" s="239"/>
      <c r="D134" s="252"/>
      <c r="E134" s="240"/>
      <c r="F134" s="219"/>
      <c r="G134" s="240"/>
      <c r="H134" s="415"/>
      <c r="I134" s="268" t="s">
        <v>184</v>
      </c>
      <c r="J134" s="244" t="s">
        <v>162</v>
      </c>
      <c r="K134" s="248"/>
      <c r="L134" s="248"/>
      <c r="M134" s="248"/>
      <c r="N134" s="248"/>
      <c r="O134" s="248"/>
      <c r="P134" s="248"/>
      <c r="Q134" s="316"/>
      <c r="R134" s="248"/>
      <c r="S134" s="248"/>
      <c r="T134" s="248"/>
      <c r="U134" s="248"/>
      <c r="V134" s="248"/>
      <c r="W134" s="248"/>
      <c r="X134" s="249"/>
      <c r="Y134" s="267"/>
      <c r="Z134" s="262"/>
      <c r="AA134" s="262"/>
      <c r="AB134" s="251"/>
      <c r="AC134" s="388"/>
      <c r="AD134" s="389"/>
      <c r="AE134" s="389"/>
      <c r="AF134" s="390"/>
      <c r="AI134" s="226"/>
    </row>
    <row r="135" spans="1:36" ht="18.75" customHeight="1" x14ac:dyDescent="0.15">
      <c r="A135" s="237"/>
      <c r="B135" s="238"/>
      <c r="C135" s="239"/>
      <c r="D135" s="252"/>
      <c r="E135" s="240"/>
      <c r="F135" s="219"/>
      <c r="G135" s="240"/>
      <c r="H135" s="416" t="s">
        <v>91</v>
      </c>
      <c r="I135" s="284" t="s">
        <v>184</v>
      </c>
      <c r="J135" s="286" t="s">
        <v>163</v>
      </c>
      <c r="K135" s="264"/>
      <c r="L135" s="321"/>
      <c r="M135" s="285" t="s">
        <v>184</v>
      </c>
      <c r="N135" s="286" t="s">
        <v>164</v>
      </c>
      <c r="O135" s="314"/>
      <c r="P135" s="314"/>
      <c r="Q135" s="285" t="s">
        <v>184</v>
      </c>
      <c r="R135" s="286" t="s">
        <v>165</v>
      </c>
      <c r="S135" s="314"/>
      <c r="T135" s="314"/>
      <c r="U135" s="314"/>
      <c r="V135" s="314"/>
      <c r="W135" s="314"/>
      <c r="X135" s="315"/>
      <c r="Y135" s="267"/>
      <c r="Z135" s="262"/>
      <c r="AA135" s="262"/>
      <c r="AB135" s="251"/>
      <c r="AC135" s="388"/>
      <c r="AD135" s="389"/>
      <c r="AE135" s="389"/>
      <c r="AF135" s="390"/>
      <c r="AI135" s="226" t="str">
        <f>"2B:"&amp;IF(AND(I135="□",M135="□",Q135="□",I136="□",Q136="□"),"koriha_rryoho1_code:0:koriha_sryoho_code:0:koriha_gengo_code:0:riha_seisin_code:0:koriha_other_code:0",IF(I135="■","koriha_rryoho1_code:2","koriha_rryoho1_code:1")
&amp;IF(M135="■",":koriha_sryoho_code:2",":koriha_sryoho_code:1")
&amp;IF(Q135="■",":koriha_gengo_code:2",":koriha_gengo_code:1")
&amp;IF(I136="■",":riha_seisin_code:2",":riha_seisin_code:1")
&amp;IF(Q136="■",":koriha_other_code:2",":koriha_other_code:1"))</f>
        <v>2B:koriha_rryoho1_code:0:koriha_sryoho_code:0:koriha_gengo_code:0:riha_seisin_code:0:koriha_other_code:0</v>
      </c>
    </row>
    <row r="136" spans="1:36" ht="18.75" customHeight="1" x14ac:dyDescent="0.15">
      <c r="A136" s="237"/>
      <c r="B136" s="238"/>
      <c r="C136" s="239"/>
      <c r="D136" s="252"/>
      <c r="E136" s="240"/>
      <c r="F136" s="219"/>
      <c r="G136" s="240"/>
      <c r="H136" s="415"/>
      <c r="I136" s="268" t="s">
        <v>184</v>
      </c>
      <c r="J136" s="244" t="s">
        <v>166</v>
      </c>
      <c r="K136" s="248"/>
      <c r="L136" s="248"/>
      <c r="M136" s="248"/>
      <c r="N136" s="248"/>
      <c r="O136" s="248"/>
      <c r="P136" s="248"/>
      <c r="Q136" s="247" t="s">
        <v>184</v>
      </c>
      <c r="R136" s="244" t="s">
        <v>167</v>
      </c>
      <c r="S136" s="316"/>
      <c r="T136" s="248"/>
      <c r="U136" s="248"/>
      <c r="V136" s="248"/>
      <c r="W136" s="248"/>
      <c r="X136" s="249"/>
      <c r="Y136" s="267"/>
      <c r="Z136" s="262"/>
      <c r="AA136" s="262"/>
      <c r="AB136" s="251"/>
      <c r="AC136" s="388"/>
      <c r="AD136" s="389"/>
      <c r="AE136" s="389"/>
      <c r="AF136" s="390"/>
      <c r="AI136" s="226"/>
    </row>
    <row r="137" spans="1:36" ht="18.75" customHeight="1" x14ac:dyDescent="0.15">
      <c r="A137" s="237"/>
      <c r="B137" s="238"/>
      <c r="C137" s="239"/>
      <c r="D137" s="252"/>
      <c r="E137" s="240"/>
      <c r="F137" s="219"/>
      <c r="G137" s="240"/>
      <c r="H137" s="313" t="s">
        <v>199</v>
      </c>
      <c r="I137" s="284" t="s">
        <v>184</v>
      </c>
      <c r="J137" s="255" t="s">
        <v>142</v>
      </c>
      <c r="K137" s="255"/>
      <c r="L137" s="258" t="s">
        <v>184</v>
      </c>
      <c r="M137" s="255" t="s">
        <v>143</v>
      </c>
      <c r="N137" s="255"/>
      <c r="O137" s="258" t="s">
        <v>184</v>
      </c>
      <c r="P137" s="255" t="s">
        <v>144</v>
      </c>
      <c r="Q137" s="260"/>
      <c r="R137" s="260"/>
      <c r="S137" s="260"/>
      <c r="T137" s="260"/>
      <c r="U137" s="314"/>
      <c r="V137" s="314"/>
      <c r="W137" s="314"/>
      <c r="X137" s="315"/>
      <c r="Y137" s="267"/>
      <c r="Z137" s="262"/>
      <c r="AA137" s="262"/>
      <c r="AB137" s="251"/>
      <c r="AC137" s="388"/>
      <c r="AD137" s="389"/>
      <c r="AE137" s="389"/>
      <c r="AF137" s="390"/>
      <c r="AI137" s="226" t="str">
        <f>"2B:field225:" &amp; IF(I137="■",1,IF(L137="■",2,IF(O137="■",3,0)))</f>
        <v>2B:field225:0</v>
      </c>
    </row>
    <row r="138" spans="1:36" ht="18.75" customHeight="1" x14ac:dyDescent="0.15">
      <c r="A138" s="237"/>
      <c r="B138" s="238"/>
      <c r="C138" s="239"/>
      <c r="D138" s="252"/>
      <c r="E138" s="240"/>
      <c r="F138" s="219"/>
      <c r="G138" s="240"/>
      <c r="H138" s="270" t="s">
        <v>96</v>
      </c>
      <c r="I138" s="284" t="s">
        <v>184</v>
      </c>
      <c r="J138" s="255" t="s">
        <v>142</v>
      </c>
      <c r="K138" s="255"/>
      <c r="L138" s="258" t="s">
        <v>184</v>
      </c>
      <c r="M138" s="255" t="s">
        <v>146</v>
      </c>
      <c r="N138" s="255"/>
      <c r="O138" s="258" t="s">
        <v>184</v>
      </c>
      <c r="P138" s="255" t="s">
        <v>147</v>
      </c>
      <c r="Q138" s="288"/>
      <c r="R138" s="258" t="s">
        <v>184</v>
      </c>
      <c r="S138" s="255" t="s">
        <v>151</v>
      </c>
      <c r="T138" s="288"/>
      <c r="U138" s="288"/>
      <c r="V138" s="288"/>
      <c r="W138" s="288"/>
      <c r="X138" s="289"/>
      <c r="Y138" s="267"/>
      <c r="Z138" s="262"/>
      <c r="AA138" s="262"/>
      <c r="AB138" s="251"/>
      <c r="AC138" s="388"/>
      <c r="AD138" s="389"/>
      <c r="AE138" s="389"/>
      <c r="AF138" s="390"/>
      <c r="AI138" s="226" t="str">
        <f>"2B:serteikyo_kyoka_code:" &amp; IF(I138="■",1,IF(L138="■",6,IF(O138="■",5,IF(R138="■",7,0))))</f>
        <v>2B:serteikyo_kyoka_code:0</v>
      </c>
    </row>
    <row r="139" spans="1:36" ht="18.75" customHeight="1" x14ac:dyDescent="0.15">
      <c r="A139" s="237"/>
      <c r="B139" s="238"/>
      <c r="C139" s="239"/>
      <c r="D139" s="252"/>
      <c r="E139" s="240"/>
      <c r="F139" s="219"/>
      <c r="G139" s="240"/>
      <c r="H139" s="402" t="s">
        <v>209</v>
      </c>
      <c r="I139" s="417" t="s">
        <v>184</v>
      </c>
      <c r="J139" s="418" t="s">
        <v>142</v>
      </c>
      <c r="K139" s="418"/>
      <c r="L139" s="417" t="s">
        <v>184</v>
      </c>
      <c r="M139" s="418" t="s">
        <v>150</v>
      </c>
      <c r="N139" s="418"/>
      <c r="O139" s="322"/>
      <c r="P139" s="322"/>
      <c r="Q139" s="322"/>
      <c r="R139" s="322"/>
      <c r="S139" s="322"/>
      <c r="T139" s="322"/>
      <c r="U139" s="322"/>
      <c r="V139" s="322"/>
      <c r="W139" s="322"/>
      <c r="X139" s="323"/>
      <c r="Y139" s="267"/>
      <c r="Z139" s="262"/>
      <c r="AA139" s="262"/>
      <c r="AB139" s="251"/>
      <c r="AC139" s="388"/>
      <c r="AD139" s="389"/>
      <c r="AE139" s="389"/>
      <c r="AF139" s="390"/>
      <c r="AI139" s="226" t="str">
        <f>"2B:field221:" &amp; IF(I139="■",1,IF(L139="■",2,0))</f>
        <v>2B:field221:0</v>
      </c>
    </row>
    <row r="140" spans="1:36" ht="18.75" customHeight="1" x14ac:dyDescent="0.15">
      <c r="A140" s="237"/>
      <c r="B140" s="238"/>
      <c r="C140" s="239"/>
      <c r="D140" s="252"/>
      <c r="E140" s="240"/>
      <c r="F140" s="219"/>
      <c r="G140" s="240"/>
      <c r="H140" s="382"/>
      <c r="I140" s="417"/>
      <c r="J140" s="418"/>
      <c r="K140" s="418"/>
      <c r="L140" s="417"/>
      <c r="M140" s="418"/>
      <c r="N140" s="418"/>
      <c r="O140" s="316"/>
      <c r="P140" s="316"/>
      <c r="Q140" s="316"/>
      <c r="R140" s="316"/>
      <c r="S140" s="316"/>
      <c r="T140" s="316"/>
      <c r="U140" s="316"/>
      <c r="V140" s="316"/>
      <c r="W140" s="316"/>
      <c r="X140" s="317"/>
      <c r="Y140" s="267"/>
      <c r="Z140" s="262"/>
      <c r="AA140" s="262"/>
      <c r="AB140" s="251"/>
      <c r="AC140" s="388"/>
      <c r="AD140" s="389"/>
      <c r="AE140" s="389"/>
      <c r="AF140" s="390"/>
    </row>
    <row r="141" spans="1:36" ht="18.75" customHeight="1" x14ac:dyDescent="0.15">
      <c r="A141" s="271"/>
      <c r="B141" s="238"/>
      <c r="C141" s="272"/>
      <c r="D141" s="231"/>
      <c r="E141" s="236"/>
      <c r="F141" s="220"/>
      <c r="G141" s="273"/>
      <c r="H141" s="274" t="s">
        <v>208</v>
      </c>
      <c r="I141" s="284" t="s">
        <v>184</v>
      </c>
      <c r="J141" s="43" t="s">
        <v>142</v>
      </c>
      <c r="K141" s="43"/>
      <c r="L141" s="276" t="s">
        <v>184</v>
      </c>
      <c r="M141" s="43" t="s">
        <v>195</v>
      </c>
      <c r="N141" s="277"/>
      <c r="O141" s="276" t="s">
        <v>184</v>
      </c>
      <c r="P141" s="233" t="s">
        <v>196</v>
      </c>
      <c r="Q141" s="278"/>
      <c r="R141" s="276" t="s">
        <v>184</v>
      </c>
      <c r="S141" s="43" t="s">
        <v>197</v>
      </c>
      <c r="T141" s="278"/>
      <c r="U141" s="276" t="s">
        <v>184</v>
      </c>
      <c r="V141" s="43" t="s">
        <v>198</v>
      </c>
      <c r="W141" s="279"/>
      <c r="X141" s="280"/>
      <c r="Y141" s="281"/>
      <c r="Z141" s="281"/>
      <c r="AA141" s="281"/>
      <c r="AB141" s="282"/>
      <c r="AC141" s="388"/>
      <c r="AD141" s="389"/>
      <c r="AE141" s="389"/>
      <c r="AF141" s="390"/>
      <c r="AG141" s="226"/>
      <c r="AH141" s="226"/>
      <c r="AI141" s="226" t="str">
        <f>"2B:shoguukaizen_code:"&amp;IF(I141="■",1,IF(L141="■",7,IF(O141="■",8,IF(R141="■",9,IF(U141="■","A",0)))))</f>
        <v>2B:shoguukaizen_code:0</v>
      </c>
    </row>
    <row r="142" spans="1:36" ht="18.75" customHeight="1" x14ac:dyDescent="0.15">
      <c r="A142" s="41"/>
      <c r="B142" s="214"/>
      <c r="C142" s="293"/>
      <c r="D142" s="6"/>
      <c r="E142" s="229"/>
      <c r="F142" s="217"/>
      <c r="G142" s="229"/>
      <c r="H142" s="414" t="s">
        <v>89</v>
      </c>
      <c r="I142" s="284" t="s">
        <v>184</v>
      </c>
      <c r="J142" s="22" t="s">
        <v>153</v>
      </c>
      <c r="K142" s="320"/>
      <c r="L142" s="218"/>
      <c r="M142" s="227" t="s">
        <v>184</v>
      </c>
      <c r="N142" s="22" t="s">
        <v>157</v>
      </c>
      <c r="O142" s="7"/>
      <c r="P142" s="7"/>
      <c r="Q142" s="227" t="s">
        <v>184</v>
      </c>
      <c r="R142" s="22" t="s">
        <v>158</v>
      </c>
      <c r="S142" s="7"/>
      <c r="T142" s="7"/>
      <c r="U142" s="227" t="s">
        <v>184</v>
      </c>
      <c r="V142" s="22" t="s">
        <v>159</v>
      </c>
      <c r="W142" s="7"/>
      <c r="X142" s="4"/>
      <c r="Y142" s="297" t="s">
        <v>184</v>
      </c>
      <c r="Z142" s="22" t="s">
        <v>141</v>
      </c>
      <c r="AA142" s="22"/>
      <c r="AB142" s="302"/>
      <c r="AC142" s="385"/>
      <c r="AD142" s="386"/>
      <c r="AE142" s="386"/>
      <c r="AF142" s="387"/>
      <c r="AG142" s="226" t="str">
        <f>"ser_code = '" &amp; IF(A153="■","2B","") &amp; "'"</f>
        <v>ser_code = ''</v>
      </c>
      <c r="AH142" s="226"/>
      <c r="AI142" s="226" t="str">
        <f>"2B:yakan_kinmu_code:" &amp; IF(I142="■",1,IF(M142="■",2,IF(Q142="■",3,IF(U142="■",7,IF(I143="■",5,IF(M143="■",6,0))))))</f>
        <v>2B:yakan_kinmu_code:0</v>
      </c>
      <c r="AJ142" s="226" t="str">
        <f>"2B:field203:" &amp; IF(Y142="■",1,IF(Y143="■",2,0))</f>
        <v>2B:field203:0</v>
      </c>
    </row>
    <row r="143" spans="1:36" ht="18.75" customHeight="1" x14ac:dyDescent="0.15">
      <c r="A143" s="237"/>
      <c r="B143" s="238"/>
      <c r="C143" s="239"/>
      <c r="D143" s="252"/>
      <c r="E143" s="240"/>
      <c r="F143" s="219"/>
      <c r="G143" s="240"/>
      <c r="H143" s="415"/>
      <c r="I143" s="268" t="s">
        <v>184</v>
      </c>
      <c r="J143" s="244" t="s">
        <v>160</v>
      </c>
      <c r="K143" s="245"/>
      <c r="L143" s="246"/>
      <c r="M143" s="247" t="s">
        <v>184</v>
      </c>
      <c r="N143" s="244" t="s">
        <v>154</v>
      </c>
      <c r="O143" s="316"/>
      <c r="P143" s="316"/>
      <c r="Q143" s="316"/>
      <c r="R143" s="316"/>
      <c r="S143" s="316"/>
      <c r="T143" s="316"/>
      <c r="U143" s="316"/>
      <c r="V143" s="316"/>
      <c r="W143" s="316"/>
      <c r="X143" s="317"/>
      <c r="Y143" s="250" t="s">
        <v>184</v>
      </c>
      <c r="Z143" s="2" t="s">
        <v>145</v>
      </c>
      <c r="AA143" s="262"/>
      <c r="AB143" s="251"/>
      <c r="AC143" s="388"/>
      <c r="AD143" s="389"/>
      <c r="AE143" s="389"/>
      <c r="AF143" s="390"/>
      <c r="AG143" s="226" t="str">
        <f>"2B:sisetukbn_code:"&amp;IF(D153="■","5",0)</f>
        <v>2B:sisetukbn_code:0</v>
      </c>
      <c r="AH143" s="226"/>
      <c r="AI143" s="226"/>
      <c r="AJ143" s="226"/>
    </row>
    <row r="144" spans="1:36" ht="18.75" customHeight="1" x14ac:dyDescent="0.15">
      <c r="A144" s="237"/>
      <c r="B144" s="238"/>
      <c r="C144" s="239"/>
      <c r="D144" s="252"/>
      <c r="E144" s="240"/>
      <c r="F144" s="219"/>
      <c r="G144" s="240"/>
      <c r="H144" s="416" t="s">
        <v>117</v>
      </c>
      <c r="I144" s="284" t="s">
        <v>184</v>
      </c>
      <c r="J144" s="286" t="s">
        <v>142</v>
      </c>
      <c r="K144" s="286"/>
      <c r="L144" s="321"/>
      <c r="M144" s="285" t="s">
        <v>184</v>
      </c>
      <c r="N144" s="286" t="s">
        <v>152</v>
      </c>
      <c r="O144" s="286"/>
      <c r="P144" s="321"/>
      <c r="Q144" s="285" t="s">
        <v>184</v>
      </c>
      <c r="R144" s="322" t="s">
        <v>173</v>
      </c>
      <c r="S144" s="322"/>
      <c r="T144" s="322"/>
      <c r="U144" s="314"/>
      <c r="V144" s="321"/>
      <c r="W144" s="322"/>
      <c r="X144" s="315"/>
      <c r="Y144" s="267"/>
      <c r="Z144" s="262"/>
      <c r="AA144" s="262"/>
      <c r="AB144" s="251"/>
      <c r="AC144" s="388"/>
      <c r="AD144" s="389"/>
      <c r="AE144" s="389"/>
      <c r="AF144" s="390"/>
      <c r="AG144" s="226"/>
      <c r="AH144" s="226"/>
      <c r="AI144" s="226" t="str">
        <f>"2B:"&amp;IF(AND(I144="□",M144="□",Q144="□",I145="□",M145="□"),"ketu_doctor_code:0",IF(I144="■","ketu_doctor_code:1:field197:1:ketu_kangos_code:1:ketu_kshoku_code:1",IF(M144="■","ketu_doctor_code:2","ketu_doctor_code:1")
&amp;IF(Q144="■",":field197:2",":field197:1")
&amp;IF(I145="■",":ketu_kangos_code:2",":ketu_kangos_code:1")
&amp;IF(M145="■",":ketu_kshoku_code:2",":ketu_kshoku_code:1")))</f>
        <v>2B:ketu_doctor_code:0</v>
      </c>
      <c r="AJ144" s="226"/>
    </row>
    <row r="145" spans="1:35" ht="18.75" customHeight="1" x14ac:dyDescent="0.15">
      <c r="A145" s="237"/>
      <c r="B145" s="238"/>
      <c r="C145" s="239"/>
      <c r="D145" s="252"/>
      <c r="E145" s="240"/>
      <c r="F145" s="219"/>
      <c r="G145" s="240"/>
      <c r="H145" s="415"/>
      <c r="I145" s="268" t="s">
        <v>184</v>
      </c>
      <c r="J145" s="316" t="s">
        <v>174</v>
      </c>
      <c r="K145" s="316"/>
      <c r="L145" s="316"/>
      <c r="M145" s="247" t="s">
        <v>184</v>
      </c>
      <c r="N145" s="316" t="s">
        <v>175</v>
      </c>
      <c r="O145" s="246"/>
      <c r="P145" s="316"/>
      <c r="Q145" s="316"/>
      <c r="R145" s="246"/>
      <c r="S145" s="316"/>
      <c r="T145" s="316"/>
      <c r="U145" s="248"/>
      <c r="V145" s="246"/>
      <c r="W145" s="316"/>
      <c r="X145" s="249"/>
      <c r="Y145" s="267"/>
      <c r="Z145" s="262"/>
      <c r="AA145" s="262"/>
      <c r="AB145" s="251"/>
      <c r="AC145" s="388"/>
      <c r="AD145" s="389"/>
      <c r="AE145" s="389"/>
      <c r="AF145" s="390"/>
      <c r="AI145" s="226"/>
    </row>
    <row r="146" spans="1:35" ht="18.75" customHeight="1" x14ac:dyDescent="0.15">
      <c r="A146" s="237"/>
      <c r="B146" s="238"/>
      <c r="C146" s="239"/>
      <c r="D146" s="252"/>
      <c r="E146" s="240"/>
      <c r="F146" s="219"/>
      <c r="G146" s="240"/>
      <c r="H146" s="270" t="s">
        <v>90</v>
      </c>
      <c r="I146" s="284" t="s">
        <v>184</v>
      </c>
      <c r="J146" s="255" t="s">
        <v>148</v>
      </c>
      <c r="K146" s="256"/>
      <c r="L146" s="257"/>
      <c r="M146" s="258" t="s">
        <v>184</v>
      </c>
      <c r="N146" s="255" t="s">
        <v>149</v>
      </c>
      <c r="O146" s="260"/>
      <c r="P146" s="260"/>
      <c r="Q146" s="260"/>
      <c r="R146" s="260"/>
      <c r="S146" s="260"/>
      <c r="T146" s="260"/>
      <c r="U146" s="260"/>
      <c r="V146" s="260"/>
      <c r="W146" s="260"/>
      <c r="X146" s="261"/>
      <c r="Y146" s="267"/>
      <c r="Z146" s="262"/>
      <c r="AA146" s="262"/>
      <c r="AB146" s="251"/>
      <c r="AC146" s="388"/>
      <c r="AD146" s="389"/>
      <c r="AE146" s="389"/>
      <c r="AF146" s="390"/>
      <c r="AI146" s="226" t="str">
        <f>"2B:unitcare_code:" &amp; IF(I146="■",1,IF(M146="■",2,0))</f>
        <v>2B:unitcare_code:0</v>
      </c>
    </row>
    <row r="147" spans="1:35" s="226" customFormat="1" ht="18.75" customHeight="1" x14ac:dyDescent="0.15">
      <c r="A147" s="237"/>
      <c r="B147" s="238"/>
      <c r="C147" s="311"/>
      <c r="D147" s="312"/>
      <c r="E147" s="240"/>
      <c r="F147" s="219"/>
      <c r="G147" s="241"/>
      <c r="H147" s="270" t="s">
        <v>92</v>
      </c>
      <c r="I147" s="254" t="s">
        <v>184</v>
      </c>
      <c r="J147" s="255" t="s">
        <v>185</v>
      </c>
      <c r="K147" s="256"/>
      <c r="L147" s="257"/>
      <c r="M147" s="258" t="s">
        <v>184</v>
      </c>
      <c r="N147" s="255" t="s">
        <v>186</v>
      </c>
      <c r="O147" s="256"/>
      <c r="P147" s="256"/>
      <c r="Q147" s="256"/>
      <c r="R147" s="256"/>
      <c r="S147" s="256"/>
      <c r="T147" s="256"/>
      <c r="U147" s="256"/>
      <c r="V147" s="256"/>
      <c r="W147" s="256"/>
      <c r="X147" s="269"/>
      <c r="Y147" s="267"/>
      <c r="Z147" s="262"/>
      <c r="AA147" s="262"/>
      <c r="AB147" s="251"/>
      <c r="AC147" s="388"/>
      <c r="AD147" s="389"/>
      <c r="AE147" s="389"/>
      <c r="AF147" s="390"/>
      <c r="AI147" s="226" t="str">
        <f>"2B:sintaikousoku_code:" &amp; IF(I147="■",1,IF(M147="■",2,0))</f>
        <v>2B:sintaikousoku_code:0</v>
      </c>
    </row>
    <row r="148" spans="1:35" ht="19.5" customHeight="1" x14ac:dyDescent="0.15">
      <c r="A148" s="237"/>
      <c r="B148" s="238"/>
      <c r="C148" s="239"/>
      <c r="D148" s="252"/>
      <c r="E148" s="240"/>
      <c r="F148" s="219"/>
      <c r="G148" s="241"/>
      <c r="H148" s="253" t="s">
        <v>192</v>
      </c>
      <c r="I148" s="284" t="s">
        <v>184</v>
      </c>
      <c r="J148" s="255" t="s">
        <v>185</v>
      </c>
      <c r="K148" s="256"/>
      <c r="L148" s="257"/>
      <c r="M148" s="258" t="s">
        <v>184</v>
      </c>
      <c r="N148" s="255" t="s">
        <v>193</v>
      </c>
      <c r="O148" s="260"/>
      <c r="P148" s="255"/>
      <c r="Q148" s="260"/>
      <c r="R148" s="260"/>
      <c r="S148" s="260"/>
      <c r="T148" s="260"/>
      <c r="U148" s="260"/>
      <c r="V148" s="260"/>
      <c r="W148" s="260"/>
      <c r="X148" s="261"/>
      <c r="Y148" s="262"/>
      <c r="Z148" s="262"/>
      <c r="AA148" s="262"/>
      <c r="AB148" s="251"/>
      <c r="AC148" s="388"/>
      <c r="AD148" s="389"/>
      <c r="AE148" s="389"/>
      <c r="AF148" s="390"/>
      <c r="AI148" s="226" t="str">
        <f>"2B:field223:" &amp; IF(I148="■",1,IF(M148="■",2,0))</f>
        <v>2B:field223:0</v>
      </c>
    </row>
    <row r="149" spans="1:35" ht="19.5" customHeight="1" x14ac:dyDescent="0.15">
      <c r="A149" s="237"/>
      <c r="B149" s="238"/>
      <c r="C149" s="239"/>
      <c r="D149" s="252"/>
      <c r="E149" s="240"/>
      <c r="F149" s="219"/>
      <c r="G149" s="241"/>
      <c r="H149" s="253" t="s">
        <v>201</v>
      </c>
      <c r="I149" s="284" t="s">
        <v>184</v>
      </c>
      <c r="J149" s="255" t="s">
        <v>185</v>
      </c>
      <c r="K149" s="256"/>
      <c r="L149" s="257"/>
      <c r="M149" s="258" t="s">
        <v>184</v>
      </c>
      <c r="N149" s="255" t="s">
        <v>193</v>
      </c>
      <c r="O149" s="260"/>
      <c r="P149" s="255"/>
      <c r="Q149" s="260"/>
      <c r="R149" s="260"/>
      <c r="S149" s="260"/>
      <c r="T149" s="260"/>
      <c r="U149" s="260"/>
      <c r="V149" s="260"/>
      <c r="W149" s="260"/>
      <c r="X149" s="261"/>
      <c r="Y149" s="262"/>
      <c r="Z149" s="262"/>
      <c r="AA149" s="262"/>
      <c r="AB149" s="251"/>
      <c r="AC149" s="388"/>
      <c r="AD149" s="389"/>
      <c r="AE149" s="389"/>
      <c r="AF149" s="390"/>
      <c r="AI149" s="226" t="str">
        <f>"2B:field232:" &amp; IF(I149="■",1,IF(M149="■",2,0))</f>
        <v>2B:field232:0</v>
      </c>
    </row>
    <row r="150" spans="1:35" ht="18.75" customHeight="1" x14ac:dyDescent="0.15">
      <c r="A150" s="237"/>
      <c r="B150" s="238"/>
      <c r="C150" s="239"/>
      <c r="D150" s="252"/>
      <c r="E150" s="240"/>
      <c r="F150" s="219"/>
      <c r="G150" s="240"/>
      <c r="H150" s="270" t="s">
        <v>112</v>
      </c>
      <c r="I150" s="284" t="s">
        <v>184</v>
      </c>
      <c r="J150" s="255" t="s">
        <v>153</v>
      </c>
      <c r="K150" s="256"/>
      <c r="L150" s="257"/>
      <c r="M150" s="258" t="s">
        <v>184</v>
      </c>
      <c r="N150" s="255" t="s">
        <v>161</v>
      </c>
      <c r="O150" s="260"/>
      <c r="P150" s="260"/>
      <c r="Q150" s="260"/>
      <c r="R150" s="260"/>
      <c r="S150" s="260"/>
      <c r="T150" s="260"/>
      <c r="U150" s="260"/>
      <c r="V150" s="260"/>
      <c r="W150" s="260"/>
      <c r="X150" s="261"/>
      <c r="Y150" s="267"/>
      <c r="Z150" s="262"/>
      <c r="AA150" s="262"/>
      <c r="AB150" s="251"/>
      <c r="AC150" s="388"/>
      <c r="AD150" s="389"/>
      <c r="AE150" s="389"/>
      <c r="AF150" s="390"/>
      <c r="AI150" s="226" t="str">
        <f>"2B:field190:" &amp; IF(I150="■",1,IF(M150="■",2,0))</f>
        <v>2B:field190:0</v>
      </c>
    </row>
    <row r="151" spans="1:35" ht="18.75" customHeight="1" x14ac:dyDescent="0.15">
      <c r="A151" s="237"/>
      <c r="B151" s="238"/>
      <c r="C151" s="239"/>
      <c r="D151" s="252"/>
      <c r="E151" s="240"/>
      <c r="F151" s="219"/>
      <c r="G151" s="240"/>
      <c r="H151" s="270" t="s">
        <v>113</v>
      </c>
      <c r="I151" s="284" t="s">
        <v>184</v>
      </c>
      <c r="J151" s="255" t="s">
        <v>153</v>
      </c>
      <c r="K151" s="256"/>
      <c r="L151" s="257"/>
      <c r="M151" s="258" t="s">
        <v>184</v>
      </c>
      <c r="N151" s="255" t="s">
        <v>161</v>
      </c>
      <c r="O151" s="260"/>
      <c r="P151" s="260"/>
      <c r="Q151" s="260"/>
      <c r="R151" s="260"/>
      <c r="S151" s="260"/>
      <c r="T151" s="260"/>
      <c r="U151" s="260"/>
      <c r="V151" s="260"/>
      <c r="W151" s="260"/>
      <c r="X151" s="261"/>
      <c r="Y151" s="267"/>
      <c r="Z151" s="262"/>
      <c r="AA151" s="262"/>
      <c r="AB151" s="251"/>
      <c r="AC151" s="388"/>
      <c r="AD151" s="389"/>
      <c r="AE151" s="389"/>
      <c r="AF151" s="390"/>
      <c r="AI151" s="226" t="str">
        <f>"2B:field191:" &amp; IF(I151="■",1,IF(M151="■",2,0))</f>
        <v>2B:field191:0</v>
      </c>
    </row>
    <row r="152" spans="1:35" ht="18.75" customHeight="1" x14ac:dyDescent="0.15">
      <c r="A152" s="237"/>
      <c r="B152" s="238"/>
      <c r="C152" s="239"/>
      <c r="D152" s="252"/>
      <c r="E152" s="240"/>
      <c r="F152" s="219"/>
      <c r="G152" s="240"/>
      <c r="H152" s="270" t="s">
        <v>210</v>
      </c>
      <c r="I152" s="284" t="s">
        <v>184</v>
      </c>
      <c r="J152" s="255" t="s">
        <v>142</v>
      </c>
      <c r="K152" s="256"/>
      <c r="L152" s="258" t="s">
        <v>184</v>
      </c>
      <c r="M152" s="255" t="s">
        <v>150</v>
      </c>
      <c r="N152" s="260"/>
      <c r="O152" s="260"/>
      <c r="P152" s="260"/>
      <c r="Q152" s="260"/>
      <c r="R152" s="260"/>
      <c r="S152" s="260"/>
      <c r="T152" s="260"/>
      <c r="U152" s="260"/>
      <c r="V152" s="260"/>
      <c r="W152" s="260"/>
      <c r="X152" s="261"/>
      <c r="Y152" s="267"/>
      <c r="Z152" s="262"/>
      <c r="AA152" s="262"/>
      <c r="AB152" s="251"/>
      <c r="AC152" s="388"/>
      <c r="AD152" s="389"/>
      <c r="AE152" s="389"/>
      <c r="AF152" s="390"/>
      <c r="AI152" s="226" t="str">
        <f>"2B:jyakuninti_uke_code:" &amp; IF(I152="■",1,IF(L152="■",2,0))</f>
        <v>2B:jyakuninti_uke_code:0</v>
      </c>
    </row>
    <row r="153" spans="1:35" ht="18.75" customHeight="1" x14ac:dyDescent="0.15">
      <c r="A153" s="268" t="s">
        <v>184</v>
      </c>
      <c r="B153" s="238" t="s">
        <v>213</v>
      </c>
      <c r="C153" s="239" t="s">
        <v>211</v>
      </c>
      <c r="D153" s="268" t="s">
        <v>184</v>
      </c>
      <c r="E153" s="240" t="s">
        <v>219</v>
      </c>
      <c r="F153" s="219"/>
      <c r="G153" s="240"/>
      <c r="H153" s="270" t="s">
        <v>88</v>
      </c>
      <c r="I153" s="284" t="s">
        <v>184</v>
      </c>
      <c r="J153" s="255" t="s">
        <v>148</v>
      </c>
      <c r="K153" s="256"/>
      <c r="L153" s="257"/>
      <c r="M153" s="258" t="s">
        <v>184</v>
      </c>
      <c r="N153" s="255" t="s">
        <v>149</v>
      </c>
      <c r="O153" s="260"/>
      <c r="P153" s="260"/>
      <c r="Q153" s="260"/>
      <c r="R153" s="260"/>
      <c r="S153" s="260"/>
      <c r="T153" s="260"/>
      <c r="U153" s="260"/>
      <c r="V153" s="260"/>
      <c r="W153" s="260"/>
      <c r="X153" s="261"/>
      <c r="Y153" s="267"/>
      <c r="Z153" s="262"/>
      <c r="AA153" s="262"/>
      <c r="AB153" s="251"/>
      <c r="AC153" s="388"/>
      <c r="AD153" s="389"/>
      <c r="AE153" s="389"/>
      <c r="AF153" s="390"/>
      <c r="AI153" s="226" t="str">
        <f>"2B:sougei_code:" &amp; IF(I153="■",1,IF(M153="■",2,0))</f>
        <v>2B:sougei_code:0</v>
      </c>
    </row>
    <row r="154" spans="1:35" ht="19.5" customHeight="1" x14ac:dyDescent="0.15">
      <c r="A154" s="237"/>
      <c r="B154" s="238"/>
      <c r="C154" s="239"/>
      <c r="D154" s="252"/>
      <c r="E154" s="240"/>
      <c r="F154" s="219"/>
      <c r="G154" s="240"/>
      <c r="H154" s="253" t="s">
        <v>194</v>
      </c>
      <c r="I154" s="284" t="s">
        <v>184</v>
      </c>
      <c r="J154" s="255" t="s">
        <v>142</v>
      </c>
      <c r="K154" s="255"/>
      <c r="L154" s="258" t="s">
        <v>184</v>
      </c>
      <c r="M154" s="255" t="s">
        <v>150</v>
      </c>
      <c r="N154" s="255"/>
      <c r="O154" s="260"/>
      <c r="P154" s="255"/>
      <c r="Q154" s="260"/>
      <c r="R154" s="260"/>
      <c r="S154" s="260"/>
      <c r="T154" s="260"/>
      <c r="U154" s="260"/>
      <c r="V154" s="260"/>
      <c r="W154" s="260"/>
      <c r="X154" s="261"/>
      <c r="Y154" s="262"/>
      <c r="Z154" s="262"/>
      <c r="AA154" s="262"/>
      <c r="AB154" s="251"/>
      <c r="AC154" s="388"/>
      <c r="AD154" s="389"/>
      <c r="AE154" s="389"/>
      <c r="AF154" s="390"/>
      <c r="AI154" s="226" t="str">
        <f>"2B:field224:" &amp; IF(I154="■",1,IF(L154="■",2,0))</f>
        <v>2B:field224:0</v>
      </c>
    </row>
    <row r="155" spans="1:35" ht="18.75" customHeight="1" x14ac:dyDescent="0.15">
      <c r="A155" s="237"/>
      <c r="B155" s="238"/>
      <c r="C155" s="239"/>
      <c r="D155" s="252"/>
      <c r="E155" s="240"/>
      <c r="F155" s="219"/>
      <c r="G155" s="240"/>
      <c r="H155" s="270" t="s">
        <v>94</v>
      </c>
      <c r="I155" s="284" t="s">
        <v>184</v>
      </c>
      <c r="J155" s="255" t="s">
        <v>142</v>
      </c>
      <c r="K155" s="256"/>
      <c r="L155" s="258" t="s">
        <v>184</v>
      </c>
      <c r="M155" s="255" t="s">
        <v>150</v>
      </c>
      <c r="N155" s="260"/>
      <c r="O155" s="260"/>
      <c r="P155" s="260"/>
      <c r="Q155" s="260"/>
      <c r="R155" s="260"/>
      <c r="S155" s="260"/>
      <c r="T155" s="260"/>
      <c r="U155" s="260"/>
      <c r="V155" s="260"/>
      <c r="W155" s="260"/>
      <c r="X155" s="261"/>
      <c r="Y155" s="267"/>
      <c r="Z155" s="262"/>
      <c r="AA155" s="262"/>
      <c r="AB155" s="251"/>
      <c r="AC155" s="388"/>
      <c r="AD155" s="389"/>
      <c r="AE155" s="389"/>
      <c r="AF155" s="390"/>
      <c r="AI155" s="226" t="str">
        <f>"2B:ryouyoushoku_code:" &amp; IF(I155="■",1,IF(L155="■",2,0))</f>
        <v>2B:ryouyoushoku_code:0</v>
      </c>
    </row>
    <row r="156" spans="1:35" ht="18.75" customHeight="1" x14ac:dyDescent="0.15">
      <c r="A156" s="237"/>
      <c r="B156" s="238"/>
      <c r="C156" s="239"/>
      <c r="D156" s="252"/>
      <c r="E156" s="240"/>
      <c r="F156" s="219"/>
      <c r="G156" s="240"/>
      <c r="H156" s="270" t="s">
        <v>95</v>
      </c>
      <c r="I156" s="284" t="s">
        <v>184</v>
      </c>
      <c r="J156" s="255" t="s">
        <v>142</v>
      </c>
      <c r="K156" s="255"/>
      <c r="L156" s="258" t="s">
        <v>184</v>
      </c>
      <c r="M156" s="255" t="s">
        <v>143</v>
      </c>
      <c r="N156" s="255"/>
      <c r="O156" s="258" t="s">
        <v>184</v>
      </c>
      <c r="P156" s="255" t="s">
        <v>144</v>
      </c>
      <c r="Q156" s="260"/>
      <c r="R156" s="260"/>
      <c r="S156" s="260"/>
      <c r="T156" s="260"/>
      <c r="U156" s="260"/>
      <c r="V156" s="260"/>
      <c r="W156" s="260"/>
      <c r="X156" s="261"/>
      <c r="Y156" s="267"/>
      <c r="Z156" s="262"/>
      <c r="AA156" s="262"/>
      <c r="AB156" s="251"/>
      <c r="AC156" s="388"/>
      <c r="AD156" s="389"/>
      <c r="AE156" s="389"/>
      <c r="AF156" s="390"/>
      <c r="AI156" s="226" t="str">
        <f>"2B:ninti_senmoncare_code:" &amp; IF(I156="■",1,IF(O156="■",3,IF(L156="■",2,0)))</f>
        <v>2B:ninti_senmoncare_code:0</v>
      </c>
    </row>
    <row r="157" spans="1:35" ht="18.75" customHeight="1" x14ac:dyDescent="0.15">
      <c r="A157" s="237"/>
      <c r="B157" s="238"/>
      <c r="C157" s="239"/>
      <c r="D157" s="252"/>
      <c r="E157" s="240"/>
      <c r="F157" s="219"/>
      <c r="G157" s="240"/>
      <c r="H157" s="416" t="s">
        <v>108</v>
      </c>
      <c r="I157" s="284" t="s">
        <v>184</v>
      </c>
      <c r="J157" s="286" t="s">
        <v>155</v>
      </c>
      <c r="K157" s="286"/>
      <c r="L157" s="314"/>
      <c r="M157" s="314"/>
      <c r="N157" s="314"/>
      <c r="O157" s="314"/>
      <c r="P157" s="285" t="s">
        <v>184</v>
      </c>
      <c r="Q157" s="286" t="s">
        <v>156</v>
      </c>
      <c r="R157" s="314"/>
      <c r="S157" s="314"/>
      <c r="T157" s="314"/>
      <c r="U157" s="314"/>
      <c r="V157" s="314"/>
      <c r="W157" s="314"/>
      <c r="X157" s="315"/>
      <c r="Y157" s="267"/>
      <c r="Z157" s="262"/>
      <c r="AA157" s="262"/>
      <c r="AB157" s="251"/>
      <c r="AC157" s="388"/>
      <c r="AD157" s="389"/>
      <c r="AE157" s="389"/>
      <c r="AF157" s="390"/>
      <c r="AI157" s="226" t="str">
        <f>"2B:" &amp; IF(AND(I157="□",P157="□",I158="□"),"tokusin_jyusho_code:0:tokusin_yakuzai_code:0:shuudan_comu_code:0",IF(I157="■","tokusin_jyusho_code:2","tokusin_jyusho_code:1")
&amp;IF(P157="■",":tokusin_yakuzai_code:2",":tokusin_yakuzai_code:1")
&amp;IF(I158="■",":shuudan_comu_code:2",":shuudan_comu_code:1"))</f>
        <v>2B:tokusin_jyusho_code:0:tokusin_yakuzai_code:0:shuudan_comu_code:0</v>
      </c>
    </row>
    <row r="158" spans="1:35" ht="18.75" customHeight="1" x14ac:dyDescent="0.15">
      <c r="A158" s="237"/>
      <c r="B158" s="238"/>
      <c r="C158" s="239"/>
      <c r="D158" s="252"/>
      <c r="E158" s="240"/>
      <c r="F158" s="219"/>
      <c r="G158" s="240"/>
      <c r="H158" s="415"/>
      <c r="I158" s="268" t="s">
        <v>184</v>
      </c>
      <c r="J158" s="244" t="s">
        <v>162</v>
      </c>
      <c r="K158" s="248"/>
      <c r="L158" s="248"/>
      <c r="M158" s="248"/>
      <c r="N158" s="248"/>
      <c r="O158" s="248"/>
      <c r="P158" s="248"/>
      <c r="Q158" s="316"/>
      <c r="R158" s="248"/>
      <c r="S158" s="248"/>
      <c r="T158" s="248"/>
      <c r="U158" s="248"/>
      <c r="V158" s="248"/>
      <c r="W158" s="248"/>
      <c r="X158" s="249"/>
      <c r="Y158" s="267"/>
      <c r="Z158" s="262"/>
      <c r="AA158" s="262"/>
      <c r="AB158" s="251"/>
      <c r="AC158" s="388"/>
      <c r="AD158" s="389"/>
      <c r="AE158" s="389"/>
      <c r="AF158" s="390"/>
      <c r="AI158" s="226"/>
    </row>
    <row r="159" spans="1:35" ht="18.75" customHeight="1" x14ac:dyDescent="0.15">
      <c r="A159" s="237"/>
      <c r="B159" s="238"/>
      <c r="C159" s="239"/>
      <c r="D159" s="252"/>
      <c r="E159" s="240"/>
      <c r="F159" s="219"/>
      <c r="G159" s="240"/>
      <c r="H159" s="416" t="s">
        <v>91</v>
      </c>
      <c r="I159" s="284" t="s">
        <v>184</v>
      </c>
      <c r="J159" s="286" t="s">
        <v>163</v>
      </c>
      <c r="K159" s="264"/>
      <c r="L159" s="321"/>
      <c r="M159" s="285" t="s">
        <v>184</v>
      </c>
      <c r="N159" s="286" t="s">
        <v>164</v>
      </c>
      <c r="O159" s="314"/>
      <c r="P159" s="314"/>
      <c r="Q159" s="285" t="s">
        <v>184</v>
      </c>
      <c r="R159" s="286" t="s">
        <v>165</v>
      </c>
      <c r="S159" s="314"/>
      <c r="T159" s="314"/>
      <c r="U159" s="314"/>
      <c r="V159" s="314"/>
      <c r="W159" s="314"/>
      <c r="X159" s="315"/>
      <c r="Y159" s="267"/>
      <c r="Z159" s="262"/>
      <c r="AA159" s="262"/>
      <c r="AB159" s="251"/>
      <c r="AC159" s="388"/>
      <c r="AD159" s="389"/>
      <c r="AE159" s="389"/>
      <c r="AF159" s="390"/>
      <c r="AI159" s="226" t="str">
        <f>"2B:"&amp;IF(AND(I159="□",M159="□",Q159="□",I160="□",Q160="□"),"koriha_rryoho1_code:0:koriha_sryoho_code:0:koriha_gengo_code:0:riha_seisin_code:0:koriha_other_code:0",IF(I159="■","koriha_rryoho1_code:2","koriha_rryoho1_code:1")
&amp;IF(M159="■",":koriha_sryoho_code:2",":koriha_sryoho_code:1")
&amp;IF(Q159="■",":koriha_gengo_code:2",":koriha_gengo_code:1")
&amp;IF(I160="■",":riha_seisin_code:2",":riha_seisin_code:1")
&amp;IF(Q160="■",":koriha_other_code:2",":koriha_other_code:1"))</f>
        <v>2B:koriha_rryoho1_code:0:koriha_sryoho_code:0:koriha_gengo_code:0:riha_seisin_code:0:koriha_other_code:0</v>
      </c>
    </row>
    <row r="160" spans="1:35" ht="18.75" customHeight="1" x14ac:dyDescent="0.15">
      <c r="A160" s="237"/>
      <c r="B160" s="238"/>
      <c r="C160" s="239"/>
      <c r="D160" s="252"/>
      <c r="E160" s="240"/>
      <c r="F160" s="219"/>
      <c r="G160" s="240"/>
      <c r="H160" s="415"/>
      <c r="I160" s="268" t="s">
        <v>184</v>
      </c>
      <c r="J160" s="244" t="s">
        <v>166</v>
      </c>
      <c r="K160" s="248"/>
      <c r="L160" s="248"/>
      <c r="M160" s="248"/>
      <c r="N160" s="248"/>
      <c r="O160" s="248"/>
      <c r="P160" s="248"/>
      <c r="Q160" s="247" t="s">
        <v>184</v>
      </c>
      <c r="R160" s="244" t="s">
        <v>167</v>
      </c>
      <c r="S160" s="316"/>
      <c r="T160" s="248"/>
      <c r="U160" s="248"/>
      <c r="V160" s="248"/>
      <c r="W160" s="248"/>
      <c r="X160" s="249"/>
      <c r="Y160" s="267"/>
      <c r="Z160" s="262"/>
      <c r="AA160" s="262"/>
      <c r="AB160" s="251"/>
      <c r="AC160" s="388"/>
      <c r="AD160" s="389"/>
      <c r="AE160" s="389"/>
      <c r="AF160" s="390"/>
      <c r="AI160" s="226"/>
    </row>
    <row r="161" spans="1:36" ht="18.75" customHeight="1" x14ac:dyDescent="0.15">
      <c r="A161" s="237"/>
      <c r="B161" s="238"/>
      <c r="C161" s="239"/>
      <c r="D161" s="252"/>
      <c r="E161" s="240"/>
      <c r="F161" s="219"/>
      <c r="G161" s="240"/>
      <c r="H161" s="313" t="s">
        <v>199</v>
      </c>
      <c r="I161" s="284" t="s">
        <v>184</v>
      </c>
      <c r="J161" s="255" t="s">
        <v>142</v>
      </c>
      <c r="K161" s="255"/>
      <c r="L161" s="258" t="s">
        <v>184</v>
      </c>
      <c r="M161" s="255" t="s">
        <v>143</v>
      </c>
      <c r="N161" s="255"/>
      <c r="O161" s="258" t="s">
        <v>184</v>
      </c>
      <c r="P161" s="255" t="s">
        <v>144</v>
      </c>
      <c r="Q161" s="260"/>
      <c r="R161" s="260"/>
      <c r="S161" s="260"/>
      <c r="T161" s="260"/>
      <c r="U161" s="314"/>
      <c r="V161" s="314"/>
      <c r="W161" s="314"/>
      <c r="X161" s="315"/>
      <c r="Y161" s="267"/>
      <c r="Z161" s="262"/>
      <c r="AA161" s="262"/>
      <c r="AB161" s="251"/>
      <c r="AC161" s="388"/>
      <c r="AD161" s="389"/>
      <c r="AE161" s="389"/>
      <c r="AF161" s="390"/>
      <c r="AI161" s="226" t="str">
        <f>"2B:field225:" &amp; IF(I161="■",1,IF(L161="■",2,IF(O161="■",3,0)))</f>
        <v>2B:field225:0</v>
      </c>
    </row>
    <row r="162" spans="1:36" ht="18.75" customHeight="1" x14ac:dyDescent="0.15">
      <c r="A162" s="237"/>
      <c r="B162" s="238"/>
      <c r="C162" s="239"/>
      <c r="D162" s="252"/>
      <c r="E162" s="240"/>
      <c r="F162" s="219"/>
      <c r="G162" s="240"/>
      <c r="H162" s="270" t="s">
        <v>96</v>
      </c>
      <c r="I162" s="284" t="s">
        <v>184</v>
      </c>
      <c r="J162" s="255" t="s">
        <v>142</v>
      </c>
      <c r="K162" s="255"/>
      <c r="L162" s="258" t="s">
        <v>184</v>
      </c>
      <c r="M162" s="255" t="s">
        <v>146</v>
      </c>
      <c r="N162" s="255"/>
      <c r="O162" s="258" t="s">
        <v>184</v>
      </c>
      <c r="P162" s="255" t="s">
        <v>147</v>
      </c>
      <c r="Q162" s="288"/>
      <c r="R162" s="258" t="s">
        <v>184</v>
      </c>
      <c r="S162" s="255" t="s">
        <v>151</v>
      </c>
      <c r="T162" s="288"/>
      <c r="U162" s="288"/>
      <c r="V162" s="288"/>
      <c r="W162" s="288"/>
      <c r="X162" s="289"/>
      <c r="Y162" s="267"/>
      <c r="Z162" s="262"/>
      <c r="AA162" s="262"/>
      <c r="AB162" s="251"/>
      <c r="AC162" s="388"/>
      <c r="AD162" s="389"/>
      <c r="AE162" s="389"/>
      <c r="AF162" s="390"/>
      <c r="AI162" s="226" t="str">
        <f>"2B:serteikyo_kyoka_code:" &amp; IF(I162="■",1,IF(L162="■",6,IF(O162="■",5,IF(R162="■",7,0))))</f>
        <v>2B:serteikyo_kyoka_code:0</v>
      </c>
    </row>
    <row r="163" spans="1:36" ht="18.75" customHeight="1" x14ac:dyDescent="0.15">
      <c r="A163" s="237"/>
      <c r="B163" s="238"/>
      <c r="C163" s="239"/>
      <c r="D163" s="252"/>
      <c r="E163" s="240"/>
      <c r="F163" s="219"/>
      <c r="G163" s="240"/>
      <c r="H163" s="402" t="s">
        <v>209</v>
      </c>
      <c r="I163" s="417" t="s">
        <v>184</v>
      </c>
      <c r="J163" s="418" t="s">
        <v>142</v>
      </c>
      <c r="K163" s="418"/>
      <c r="L163" s="417" t="s">
        <v>184</v>
      </c>
      <c r="M163" s="418" t="s">
        <v>150</v>
      </c>
      <c r="N163" s="418"/>
      <c r="O163" s="322"/>
      <c r="P163" s="322"/>
      <c r="Q163" s="322"/>
      <c r="R163" s="322"/>
      <c r="S163" s="322"/>
      <c r="T163" s="322"/>
      <c r="U163" s="322"/>
      <c r="V163" s="322"/>
      <c r="W163" s="322"/>
      <c r="X163" s="323"/>
      <c r="Y163" s="267"/>
      <c r="Z163" s="262"/>
      <c r="AA163" s="262"/>
      <c r="AB163" s="251"/>
      <c r="AC163" s="388"/>
      <c r="AD163" s="389"/>
      <c r="AE163" s="389"/>
      <c r="AF163" s="390"/>
      <c r="AI163" s="226" t="str">
        <f>"2B:field221:" &amp; IF(I163="■",1,IF(L163="■",2,0))</f>
        <v>2B:field221:0</v>
      </c>
    </row>
    <row r="164" spans="1:36" ht="18.75" customHeight="1" x14ac:dyDescent="0.15">
      <c r="A164" s="237"/>
      <c r="B164" s="238"/>
      <c r="C164" s="239"/>
      <c r="D164" s="252"/>
      <c r="E164" s="240"/>
      <c r="F164" s="219"/>
      <c r="G164" s="240"/>
      <c r="H164" s="382"/>
      <c r="I164" s="417"/>
      <c r="J164" s="418"/>
      <c r="K164" s="418"/>
      <c r="L164" s="417"/>
      <c r="M164" s="418"/>
      <c r="N164" s="418"/>
      <c r="O164" s="316"/>
      <c r="P164" s="316"/>
      <c r="Q164" s="316"/>
      <c r="R164" s="316"/>
      <c r="S164" s="316"/>
      <c r="T164" s="316"/>
      <c r="U164" s="316"/>
      <c r="V164" s="316"/>
      <c r="W164" s="316"/>
      <c r="X164" s="317"/>
      <c r="Y164" s="267"/>
      <c r="Z164" s="262"/>
      <c r="AA164" s="262"/>
      <c r="AB164" s="251"/>
      <c r="AC164" s="388"/>
      <c r="AD164" s="389"/>
      <c r="AE164" s="389"/>
      <c r="AF164" s="390"/>
    </row>
    <row r="165" spans="1:36" ht="18.75" customHeight="1" x14ac:dyDescent="0.15">
      <c r="A165" s="271"/>
      <c r="B165" s="216"/>
      <c r="C165" s="272"/>
      <c r="D165" s="231"/>
      <c r="E165" s="236"/>
      <c r="F165" s="220"/>
      <c r="G165" s="273"/>
      <c r="H165" s="274" t="s">
        <v>208</v>
      </c>
      <c r="I165" s="275" t="s">
        <v>184</v>
      </c>
      <c r="J165" s="43" t="s">
        <v>142</v>
      </c>
      <c r="K165" s="43"/>
      <c r="L165" s="276" t="s">
        <v>184</v>
      </c>
      <c r="M165" s="43" t="s">
        <v>195</v>
      </c>
      <c r="N165" s="277"/>
      <c r="O165" s="276" t="s">
        <v>184</v>
      </c>
      <c r="P165" s="233" t="s">
        <v>196</v>
      </c>
      <c r="Q165" s="278"/>
      <c r="R165" s="276" t="s">
        <v>184</v>
      </c>
      <c r="S165" s="43" t="s">
        <v>197</v>
      </c>
      <c r="T165" s="278"/>
      <c r="U165" s="276" t="s">
        <v>184</v>
      </c>
      <c r="V165" s="43" t="s">
        <v>198</v>
      </c>
      <c r="W165" s="279"/>
      <c r="X165" s="280"/>
      <c r="Y165" s="281"/>
      <c r="Z165" s="281"/>
      <c r="AA165" s="281"/>
      <c r="AB165" s="282"/>
      <c r="AC165" s="391"/>
      <c r="AD165" s="392"/>
      <c r="AE165" s="392"/>
      <c r="AF165" s="393"/>
      <c r="AG165" s="226"/>
      <c r="AH165" s="226"/>
      <c r="AI165" s="226" t="str">
        <f>"2B:shoguukaizen_code:"&amp;IF(I165="■",1,IF(L165="■",7,IF(O165="■",8,IF(R165="■",9,IF(U165="■","A",0)))))</f>
        <v>2B:shoguukaizen_code:0</v>
      </c>
    </row>
    <row r="166" spans="1:36" ht="18.75" customHeight="1" x14ac:dyDescent="0.15">
      <c r="A166" s="41"/>
      <c r="B166" s="214"/>
      <c r="C166" s="293"/>
      <c r="D166" s="6"/>
      <c r="E166" s="229"/>
      <c r="F166" s="217"/>
      <c r="G166" s="229"/>
      <c r="H166" s="414" t="s">
        <v>89</v>
      </c>
      <c r="I166" s="297" t="s">
        <v>184</v>
      </c>
      <c r="J166" s="22" t="s">
        <v>153</v>
      </c>
      <c r="K166" s="320"/>
      <c r="L166" s="218"/>
      <c r="M166" s="227" t="s">
        <v>184</v>
      </c>
      <c r="N166" s="22" t="s">
        <v>157</v>
      </c>
      <c r="O166" s="7"/>
      <c r="P166" s="7"/>
      <c r="Q166" s="227" t="s">
        <v>184</v>
      </c>
      <c r="R166" s="22" t="s">
        <v>158</v>
      </c>
      <c r="S166" s="7"/>
      <c r="T166" s="7"/>
      <c r="U166" s="227" t="s">
        <v>184</v>
      </c>
      <c r="V166" s="22" t="s">
        <v>159</v>
      </c>
      <c r="W166" s="7"/>
      <c r="X166" s="4"/>
      <c r="Y166" s="227" t="s">
        <v>184</v>
      </c>
      <c r="Z166" s="22" t="s">
        <v>141</v>
      </c>
      <c r="AA166" s="22"/>
      <c r="AB166" s="302"/>
      <c r="AC166" s="385"/>
      <c r="AD166" s="386"/>
      <c r="AE166" s="386"/>
      <c r="AF166" s="387"/>
      <c r="AG166" s="226" t="str">
        <f>"ser_code = '" &amp; IF(A176="■","2B","") &amp; "'"</f>
        <v>ser_code = ''</v>
      </c>
      <c r="AH166" s="226" t="str">
        <f>"2B:jininkbn_code:"&amp;IF(F176="■",1,IF(F177="■",2,0))</f>
        <v>2B:jininkbn_code:0</v>
      </c>
      <c r="AI166" s="226" t="str">
        <f>"2B:yakan_kinmu_code:" &amp; IF(I166="■",1,IF(M166="■",2,IF(Q166="■",3,IF(U166="■",7,IF(I167="■",5,IF(M167="■",6,0))))))</f>
        <v>2B:yakan_kinmu_code:0</v>
      </c>
      <c r="AJ166" s="226" t="str">
        <f>"2B:field203:" &amp; IF(Y166="■",1,IF(Y167="■",2,0))</f>
        <v>2B:field203:0</v>
      </c>
    </row>
    <row r="167" spans="1:36" ht="18.75" customHeight="1" x14ac:dyDescent="0.15">
      <c r="A167" s="237"/>
      <c r="B167" s="238"/>
      <c r="C167" s="239"/>
      <c r="D167" s="252"/>
      <c r="E167" s="240"/>
      <c r="F167" s="219"/>
      <c r="G167" s="240"/>
      <c r="H167" s="415"/>
      <c r="I167" s="268" t="s">
        <v>184</v>
      </c>
      <c r="J167" s="244" t="s">
        <v>160</v>
      </c>
      <c r="K167" s="245"/>
      <c r="L167" s="246"/>
      <c r="M167" s="247" t="s">
        <v>184</v>
      </c>
      <c r="N167" s="244" t="s">
        <v>154</v>
      </c>
      <c r="O167" s="316"/>
      <c r="P167" s="316"/>
      <c r="Q167" s="316"/>
      <c r="R167" s="316"/>
      <c r="S167" s="316"/>
      <c r="T167" s="316"/>
      <c r="U167" s="316"/>
      <c r="V167" s="316"/>
      <c r="W167" s="316"/>
      <c r="X167" s="317"/>
      <c r="Y167" s="250" t="s">
        <v>184</v>
      </c>
      <c r="Z167" s="2" t="s">
        <v>145</v>
      </c>
      <c r="AA167" s="262"/>
      <c r="AB167" s="251"/>
      <c r="AC167" s="388"/>
      <c r="AD167" s="389"/>
      <c r="AE167" s="389"/>
      <c r="AF167" s="390"/>
      <c r="AG167" s="226" t="str">
        <f>"2B:sisetukbn_code:"&amp;IF(D176="■","6",0)</f>
        <v>2B:sisetukbn_code:0</v>
      </c>
      <c r="AH167" s="226"/>
      <c r="AI167" s="226"/>
      <c r="AJ167" s="226"/>
    </row>
    <row r="168" spans="1:36" ht="18.75" customHeight="1" x14ac:dyDescent="0.15">
      <c r="A168" s="237"/>
      <c r="B168" s="238"/>
      <c r="C168" s="239"/>
      <c r="D168" s="252"/>
      <c r="E168" s="240"/>
      <c r="F168" s="219"/>
      <c r="G168" s="240"/>
      <c r="H168" s="416" t="s">
        <v>87</v>
      </c>
      <c r="I168" s="284" t="s">
        <v>184</v>
      </c>
      <c r="J168" s="286" t="s">
        <v>142</v>
      </c>
      <c r="K168" s="286"/>
      <c r="L168" s="321"/>
      <c r="M168" s="285" t="s">
        <v>184</v>
      </c>
      <c r="N168" s="286" t="s">
        <v>152</v>
      </c>
      <c r="O168" s="286"/>
      <c r="P168" s="321"/>
      <c r="Q168" s="285" t="s">
        <v>184</v>
      </c>
      <c r="R168" s="322" t="s">
        <v>173</v>
      </c>
      <c r="S168" s="322"/>
      <c r="T168" s="322"/>
      <c r="U168" s="314"/>
      <c r="V168" s="321"/>
      <c r="W168" s="322"/>
      <c r="X168" s="315"/>
      <c r="Y168" s="267"/>
      <c r="Z168" s="262"/>
      <c r="AA168" s="262"/>
      <c r="AB168" s="251"/>
      <c r="AC168" s="388"/>
      <c r="AD168" s="389"/>
      <c r="AE168" s="389"/>
      <c r="AF168" s="390"/>
      <c r="AI168" s="226" t="str">
        <f>"2B:"&amp;IF(AND(I168="□",M168="□",Q168="□",I169="□",M169="□"),"ketu_doctor_code:0",IF(I168="■","ketu_doctor_code:1:field197:1:ketu_kangos_code:1:ketu_kshoku_code:1",IF(M168="■","ketu_doctor_code:2","ketu_doctor_code:1")
&amp;IF(Q168="■",":field197:2",":field197:1")
&amp;IF(I169="■",":ketu_kangos_code:2",":ketu_kangos_code:1")
&amp;IF(M169="■",":ketu_kshoku_code:2",":ketu_kshoku_code:1")))</f>
        <v>2B:ketu_doctor_code:0</v>
      </c>
    </row>
    <row r="169" spans="1:36" ht="18.75" customHeight="1" x14ac:dyDescent="0.15">
      <c r="A169" s="237"/>
      <c r="B169" s="238"/>
      <c r="C169" s="239"/>
      <c r="D169" s="252"/>
      <c r="E169" s="240"/>
      <c r="F169" s="219"/>
      <c r="G169" s="240"/>
      <c r="H169" s="415"/>
      <c r="I169" s="268" t="s">
        <v>184</v>
      </c>
      <c r="J169" s="316" t="s">
        <v>174</v>
      </c>
      <c r="K169" s="316"/>
      <c r="L169" s="316"/>
      <c r="M169" s="247" t="s">
        <v>184</v>
      </c>
      <c r="N169" s="316" t="s">
        <v>175</v>
      </c>
      <c r="O169" s="246"/>
      <c r="P169" s="316"/>
      <c r="Q169" s="316"/>
      <c r="R169" s="246"/>
      <c r="S169" s="316"/>
      <c r="T169" s="316"/>
      <c r="U169" s="248"/>
      <c r="V169" s="246"/>
      <c r="W169" s="316"/>
      <c r="X169" s="249"/>
      <c r="Y169" s="267"/>
      <c r="Z169" s="262"/>
      <c r="AA169" s="262"/>
      <c r="AB169" s="251"/>
      <c r="AC169" s="388"/>
      <c r="AD169" s="389"/>
      <c r="AE169" s="389"/>
      <c r="AF169" s="390"/>
      <c r="AI169" s="226"/>
    </row>
    <row r="170" spans="1:36" ht="18.75" customHeight="1" x14ac:dyDescent="0.15">
      <c r="A170" s="237"/>
      <c r="B170" s="238"/>
      <c r="C170" s="239"/>
      <c r="D170" s="252"/>
      <c r="E170" s="240"/>
      <c r="F170" s="219"/>
      <c r="G170" s="240"/>
      <c r="H170" s="270" t="s">
        <v>90</v>
      </c>
      <c r="I170" s="284" t="s">
        <v>184</v>
      </c>
      <c r="J170" s="255" t="s">
        <v>148</v>
      </c>
      <c r="K170" s="256"/>
      <c r="L170" s="257"/>
      <c r="M170" s="258" t="s">
        <v>184</v>
      </c>
      <c r="N170" s="255" t="s">
        <v>149</v>
      </c>
      <c r="O170" s="260"/>
      <c r="P170" s="260"/>
      <c r="Q170" s="260"/>
      <c r="R170" s="260"/>
      <c r="S170" s="260"/>
      <c r="T170" s="260"/>
      <c r="U170" s="260"/>
      <c r="V170" s="260"/>
      <c r="W170" s="260"/>
      <c r="X170" s="261"/>
      <c r="Y170" s="267"/>
      <c r="Z170" s="262"/>
      <c r="AA170" s="262"/>
      <c r="AB170" s="251"/>
      <c r="AC170" s="388"/>
      <c r="AD170" s="389"/>
      <c r="AE170" s="389"/>
      <c r="AF170" s="390"/>
      <c r="AI170" s="226" t="str">
        <f>"2B:unitcare_code:" &amp; IF(I170="■",1,IF(M170="■",2,0))</f>
        <v>2B:unitcare_code:0</v>
      </c>
    </row>
    <row r="171" spans="1:36" s="226" customFormat="1" ht="18.75" customHeight="1" x14ac:dyDescent="0.15">
      <c r="A171" s="237"/>
      <c r="B171" s="238"/>
      <c r="C171" s="311"/>
      <c r="D171" s="312"/>
      <c r="E171" s="240"/>
      <c r="F171" s="219"/>
      <c r="G171" s="241"/>
      <c r="H171" s="270" t="s">
        <v>92</v>
      </c>
      <c r="I171" s="254" t="s">
        <v>184</v>
      </c>
      <c r="J171" s="255" t="s">
        <v>185</v>
      </c>
      <c r="K171" s="256"/>
      <c r="L171" s="257"/>
      <c r="M171" s="258" t="s">
        <v>184</v>
      </c>
      <c r="N171" s="255" t="s">
        <v>186</v>
      </c>
      <c r="O171" s="256"/>
      <c r="P171" s="256"/>
      <c r="Q171" s="256"/>
      <c r="R171" s="256"/>
      <c r="S171" s="256"/>
      <c r="T171" s="256"/>
      <c r="U171" s="256"/>
      <c r="V171" s="256"/>
      <c r="W171" s="256"/>
      <c r="X171" s="269"/>
      <c r="Y171" s="267"/>
      <c r="Z171" s="262"/>
      <c r="AA171" s="262"/>
      <c r="AB171" s="251"/>
      <c r="AC171" s="388"/>
      <c r="AD171" s="389"/>
      <c r="AE171" s="389"/>
      <c r="AF171" s="390"/>
      <c r="AI171" s="226" t="str">
        <f>"2B:sintaikousoku_code:" &amp; IF(I171="■",1,IF(M171="■",2,0))</f>
        <v>2B:sintaikousoku_code:0</v>
      </c>
    </row>
    <row r="172" spans="1:36" ht="19.5" customHeight="1" x14ac:dyDescent="0.15">
      <c r="A172" s="237"/>
      <c r="B172" s="238"/>
      <c r="C172" s="239"/>
      <c r="D172" s="252"/>
      <c r="E172" s="240"/>
      <c r="F172" s="219"/>
      <c r="G172" s="241"/>
      <c r="H172" s="253" t="s">
        <v>192</v>
      </c>
      <c r="I172" s="284" t="s">
        <v>184</v>
      </c>
      <c r="J172" s="255" t="s">
        <v>185</v>
      </c>
      <c r="K172" s="256"/>
      <c r="L172" s="257"/>
      <c r="M172" s="258" t="s">
        <v>184</v>
      </c>
      <c r="N172" s="255" t="s">
        <v>193</v>
      </c>
      <c r="O172" s="255"/>
      <c r="P172" s="255"/>
      <c r="Q172" s="260"/>
      <c r="R172" s="260"/>
      <c r="S172" s="260"/>
      <c r="T172" s="260"/>
      <c r="U172" s="260"/>
      <c r="V172" s="260"/>
      <c r="W172" s="260"/>
      <c r="X172" s="261"/>
      <c r="Y172" s="262"/>
      <c r="Z172" s="262"/>
      <c r="AA172" s="262"/>
      <c r="AB172" s="251"/>
      <c r="AC172" s="388"/>
      <c r="AD172" s="389"/>
      <c r="AE172" s="389"/>
      <c r="AF172" s="390"/>
      <c r="AI172" s="226" t="str">
        <f>"2B:field223:" &amp; IF(I172="■",1,IF(M172="■",2,0))</f>
        <v>2B:field223:0</v>
      </c>
    </row>
    <row r="173" spans="1:36" ht="19.5" customHeight="1" x14ac:dyDescent="0.15">
      <c r="A173" s="237"/>
      <c r="B173" s="238"/>
      <c r="C173" s="239"/>
      <c r="D173" s="252"/>
      <c r="E173" s="240"/>
      <c r="F173" s="219"/>
      <c r="G173" s="241"/>
      <c r="H173" s="253" t="s">
        <v>201</v>
      </c>
      <c r="I173" s="284" t="s">
        <v>184</v>
      </c>
      <c r="J173" s="255" t="s">
        <v>185</v>
      </c>
      <c r="K173" s="256"/>
      <c r="L173" s="257"/>
      <c r="M173" s="258" t="s">
        <v>184</v>
      </c>
      <c r="N173" s="255" t="s">
        <v>193</v>
      </c>
      <c r="O173" s="255"/>
      <c r="P173" s="255"/>
      <c r="Q173" s="260"/>
      <c r="R173" s="260"/>
      <c r="S173" s="260"/>
      <c r="T173" s="260"/>
      <c r="U173" s="260"/>
      <c r="V173" s="260"/>
      <c r="W173" s="260"/>
      <c r="X173" s="261"/>
      <c r="Y173" s="262"/>
      <c r="Z173" s="262"/>
      <c r="AA173" s="262"/>
      <c r="AB173" s="251"/>
      <c r="AC173" s="388"/>
      <c r="AD173" s="389"/>
      <c r="AE173" s="389"/>
      <c r="AF173" s="390"/>
      <c r="AI173" s="226" t="str">
        <f>"2B:field232:" &amp; IF(I173="■",1,IF(M173="■",2,0))</f>
        <v>2B:field232:0</v>
      </c>
    </row>
    <row r="174" spans="1:36" ht="18.75" customHeight="1" x14ac:dyDescent="0.15">
      <c r="A174" s="237"/>
      <c r="B174" s="238"/>
      <c r="C174" s="239"/>
      <c r="D174" s="252"/>
      <c r="E174" s="240"/>
      <c r="F174" s="219"/>
      <c r="G174" s="240"/>
      <c r="H174" s="270" t="s">
        <v>112</v>
      </c>
      <c r="I174" s="284" t="s">
        <v>184</v>
      </c>
      <c r="J174" s="255" t="s">
        <v>153</v>
      </c>
      <c r="K174" s="256"/>
      <c r="L174" s="257"/>
      <c r="M174" s="258" t="s">
        <v>184</v>
      </c>
      <c r="N174" s="255" t="s">
        <v>161</v>
      </c>
      <c r="O174" s="260"/>
      <c r="P174" s="260"/>
      <c r="Q174" s="260"/>
      <c r="R174" s="260"/>
      <c r="S174" s="260"/>
      <c r="T174" s="260"/>
      <c r="U174" s="260"/>
      <c r="V174" s="260"/>
      <c r="W174" s="260"/>
      <c r="X174" s="261"/>
      <c r="Y174" s="267"/>
      <c r="Z174" s="262"/>
      <c r="AA174" s="262"/>
      <c r="AB174" s="251"/>
      <c r="AC174" s="388"/>
      <c r="AD174" s="389"/>
      <c r="AE174" s="389"/>
      <c r="AF174" s="390"/>
      <c r="AI174" s="226" t="str">
        <f>"2B:field190:" &amp; IF(I174="■",1,IF(M174="■",2,0))</f>
        <v>2B:field190:0</v>
      </c>
    </row>
    <row r="175" spans="1:36" ht="18.75" customHeight="1" x14ac:dyDescent="0.15">
      <c r="A175" s="237"/>
      <c r="B175" s="238"/>
      <c r="C175" s="239"/>
      <c r="D175" s="252"/>
      <c r="E175" s="240"/>
      <c r="F175" s="219"/>
      <c r="G175" s="240"/>
      <c r="H175" s="270" t="s">
        <v>113</v>
      </c>
      <c r="I175" s="284" t="s">
        <v>184</v>
      </c>
      <c r="J175" s="255" t="s">
        <v>153</v>
      </c>
      <c r="K175" s="256"/>
      <c r="L175" s="257"/>
      <c r="M175" s="258" t="s">
        <v>184</v>
      </c>
      <c r="N175" s="255" t="s">
        <v>161</v>
      </c>
      <c r="O175" s="260"/>
      <c r="P175" s="260"/>
      <c r="Q175" s="260"/>
      <c r="R175" s="260"/>
      <c r="S175" s="260"/>
      <c r="T175" s="260"/>
      <c r="U175" s="260"/>
      <c r="V175" s="260"/>
      <c r="W175" s="260"/>
      <c r="X175" s="261"/>
      <c r="Y175" s="267"/>
      <c r="Z175" s="262"/>
      <c r="AA175" s="262"/>
      <c r="AB175" s="251"/>
      <c r="AC175" s="388"/>
      <c r="AD175" s="389"/>
      <c r="AE175" s="389"/>
      <c r="AF175" s="390"/>
      <c r="AI175" s="226" t="str">
        <f>"2B:field191:" &amp; IF(I175="■",1,IF(M175="■",2,0))</f>
        <v>2B:field191:0</v>
      </c>
    </row>
    <row r="176" spans="1:36" ht="18.75" customHeight="1" x14ac:dyDescent="0.15">
      <c r="A176" s="268" t="s">
        <v>184</v>
      </c>
      <c r="B176" s="238" t="s">
        <v>213</v>
      </c>
      <c r="C176" s="239" t="s">
        <v>211</v>
      </c>
      <c r="D176" s="268" t="s">
        <v>184</v>
      </c>
      <c r="E176" s="240" t="s">
        <v>183</v>
      </c>
      <c r="F176" s="268" t="s">
        <v>184</v>
      </c>
      <c r="G176" s="240" t="s">
        <v>180</v>
      </c>
      <c r="H176" s="270" t="s">
        <v>210</v>
      </c>
      <c r="I176" s="284" t="s">
        <v>184</v>
      </c>
      <c r="J176" s="255" t="s">
        <v>142</v>
      </c>
      <c r="K176" s="256"/>
      <c r="L176" s="258" t="s">
        <v>184</v>
      </c>
      <c r="M176" s="255" t="s">
        <v>150</v>
      </c>
      <c r="N176" s="260"/>
      <c r="O176" s="260"/>
      <c r="P176" s="260"/>
      <c r="Q176" s="260"/>
      <c r="R176" s="260"/>
      <c r="S176" s="260"/>
      <c r="T176" s="260"/>
      <c r="U176" s="260"/>
      <c r="V176" s="260"/>
      <c r="W176" s="260"/>
      <c r="X176" s="261"/>
      <c r="Y176" s="267"/>
      <c r="Z176" s="262"/>
      <c r="AA176" s="262"/>
      <c r="AB176" s="251"/>
      <c r="AC176" s="388"/>
      <c r="AD176" s="389"/>
      <c r="AE176" s="389"/>
      <c r="AF176" s="390"/>
      <c r="AI176" s="226" t="str">
        <f>"2B:jyakuninti_uke_code:" &amp; IF(I176="■",1,IF(L176="■",2,0))</f>
        <v>2B:jyakuninti_uke_code:0</v>
      </c>
    </row>
    <row r="177" spans="1:38" ht="18.75" customHeight="1" x14ac:dyDescent="0.15">
      <c r="A177" s="237"/>
      <c r="B177" s="238"/>
      <c r="C177" s="239"/>
      <c r="D177" s="252"/>
      <c r="E177" s="240"/>
      <c r="F177" s="268" t="s">
        <v>184</v>
      </c>
      <c r="G177" s="240" t="s">
        <v>168</v>
      </c>
      <c r="H177" s="270" t="s">
        <v>88</v>
      </c>
      <c r="I177" s="284" t="s">
        <v>184</v>
      </c>
      <c r="J177" s="255" t="s">
        <v>148</v>
      </c>
      <c r="K177" s="256"/>
      <c r="L177" s="257"/>
      <c r="M177" s="258" t="s">
        <v>184</v>
      </c>
      <c r="N177" s="255" t="s">
        <v>149</v>
      </c>
      <c r="O177" s="260"/>
      <c r="P177" s="260"/>
      <c r="Q177" s="260"/>
      <c r="R177" s="260"/>
      <c r="S177" s="260"/>
      <c r="T177" s="260"/>
      <c r="U177" s="260"/>
      <c r="V177" s="260"/>
      <c r="W177" s="260"/>
      <c r="X177" s="261"/>
      <c r="Y177" s="267"/>
      <c r="Z177" s="262"/>
      <c r="AA177" s="262"/>
      <c r="AB177" s="251"/>
      <c r="AC177" s="388"/>
      <c r="AD177" s="389"/>
      <c r="AE177" s="389"/>
      <c r="AF177" s="390"/>
      <c r="AI177" s="226" t="str">
        <f>"2B:sougei_code:" &amp; IF(I177="■",1,IF(M177="■",2,0))</f>
        <v>2B:sougei_code:0</v>
      </c>
    </row>
    <row r="178" spans="1:38" ht="19.5" customHeight="1" x14ac:dyDescent="0.15">
      <c r="A178" s="237"/>
      <c r="B178" s="238"/>
      <c r="C178" s="239"/>
      <c r="D178" s="252"/>
      <c r="E178" s="240"/>
      <c r="F178" s="219"/>
      <c r="G178" s="241"/>
      <c r="H178" s="253" t="s">
        <v>194</v>
      </c>
      <c r="I178" s="284" t="s">
        <v>184</v>
      </c>
      <c r="J178" s="255" t="s">
        <v>142</v>
      </c>
      <c r="K178" s="255"/>
      <c r="L178" s="258" t="s">
        <v>184</v>
      </c>
      <c r="M178" s="255" t="s">
        <v>150</v>
      </c>
      <c r="N178" s="255"/>
      <c r="O178" s="260"/>
      <c r="P178" s="255"/>
      <c r="Q178" s="260"/>
      <c r="R178" s="260"/>
      <c r="S178" s="260"/>
      <c r="T178" s="260"/>
      <c r="U178" s="260"/>
      <c r="V178" s="260"/>
      <c r="W178" s="260"/>
      <c r="X178" s="261"/>
      <c r="Y178" s="262"/>
      <c r="Z178" s="262"/>
      <c r="AA178" s="262"/>
      <c r="AB178" s="251"/>
      <c r="AC178" s="388"/>
      <c r="AD178" s="389"/>
      <c r="AE178" s="389"/>
      <c r="AF178" s="390"/>
      <c r="AI178" s="226" t="str">
        <f>"2B:field224:" &amp; IF(I178="■",1,IF(L178="■",2,0))</f>
        <v>2B:field224:0</v>
      </c>
    </row>
    <row r="179" spans="1:38" ht="18.75" customHeight="1" x14ac:dyDescent="0.15">
      <c r="A179" s="237"/>
      <c r="B179" s="238"/>
      <c r="C179" s="239"/>
      <c r="D179" s="252"/>
      <c r="E179" s="240"/>
      <c r="F179" s="219"/>
      <c r="G179" s="240"/>
      <c r="H179" s="270" t="s">
        <v>94</v>
      </c>
      <c r="I179" s="284" t="s">
        <v>184</v>
      </c>
      <c r="J179" s="255" t="s">
        <v>142</v>
      </c>
      <c r="K179" s="256"/>
      <c r="L179" s="258" t="s">
        <v>184</v>
      </c>
      <c r="M179" s="255" t="s">
        <v>150</v>
      </c>
      <c r="N179" s="260"/>
      <c r="O179" s="260"/>
      <c r="P179" s="260"/>
      <c r="Q179" s="260"/>
      <c r="R179" s="260"/>
      <c r="S179" s="260"/>
      <c r="T179" s="260"/>
      <c r="U179" s="260"/>
      <c r="V179" s="260"/>
      <c r="W179" s="260"/>
      <c r="X179" s="261"/>
      <c r="Y179" s="267"/>
      <c r="Z179" s="262"/>
      <c r="AA179" s="262"/>
      <c r="AB179" s="251"/>
      <c r="AC179" s="388"/>
      <c r="AD179" s="389"/>
      <c r="AE179" s="389"/>
      <c r="AF179" s="390"/>
      <c r="AI179" s="226" t="str">
        <f>"2B:ryouyoushoku_code:" &amp; IF(I179="■",1,IF(L179="■",2,0))</f>
        <v>2B:ryouyoushoku_code:0</v>
      </c>
    </row>
    <row r="180" spans="1:38" ht="18.75" customHeight="1" x14ac:dyDescent="0.15">
      <c r="A180" s="237"/>
      <c r="B180" s="238"/>
      <c r="C180" s="239"/>
      <c r="D180" s="252"/>
      <c r="E180" s="240"/>
      <c r="F180" s="219"/>
      <c r="G180" s="240"/>
      <c r="H180" s="270" t="s">
        <v>95</v>
      </c>
      <c r="I180" s="284" t="s">
        <v>184</v>
      </c>
      <c r="J180" s="255" t="s">
        <v>142</v>
      </c>
      <c r="K180" s="255"/>
      <c r="L180" s="258" t="s">
        <v>184</v>
      </c>
      <c r="M180" s="255" t="s">
        <v>143</v>
      </c>
      <c r="N180" s="255"/>
      <c r="O180" s="258" t="s">
        <v>184</v>
      </c>
      <c r="P180" s="255" t="s">
        <v>144</v>
      </c>
      <c r="Q180" s="260"/>
      <c r="R180" s="260"/>
      <c r="S180" s="260"/>
      <c r="T180" s="260"/>
      <c r="U180" s="260"/>
      <c r="V180" s="260"/>
      <c r="W180" s="260"/>
      <c r="X180" s="261"/>
      <c r="Y180" s="267"/>
      <c r="Z180" s="262"/>
      <c r="AA180" s="262"/>
      <c r="AB180" s="251"/>
      <c r="AC180" s="388"/>
      <c r="AD180" s="389"/>
      <c r="AE180" s="389"/>
      <c r="AF180" s="390"/>
      <c r="AI180" s="226" t="str">
        <f>"2B:ninti_senmoncare_code:" &amp; IF(I180="■",1,IF(O180="■",3,IF(L180="■",2,0)))</f>
        <v>2B:ninti_senmoncare_code:0</v>
      </c>
    </row>
    <row r="181" spans="1:38" ht="18.75" customHeight="1" x14ac:dyDescent="0.15">
      <c r="A181" s="237"/>
      <c r="B181" s="238"/>
      <c r="C181" s="239"/>
      <c r="D181" s="252"/>
      <c r="E181" s="240"/>
      <c r="F181" s="219"/>
      <c r="G181" s="240"/>
      <c r="H181" s="313" t="s">
        <v>199</v>
      </c>
      <c r="I181" s="284" t="s">
        <v>184</v>
      </c>
      <c r="J181" s="255" t="s">
        <v>142</v>
      </c>
      <c r="K181" s="255"/>
      <c r="L181" s="258" t="s">
        <v>184</v>
      </c>
      <c r="M181" s="255" t="s">
        <v>143</v>
      </c>
      <c r="N181" s="255"/>
      <c r="O181" s="258" t="s">
        <v>184</v>
      </c>
      <c r="P181" s="255" t="s">
        <v>144</v>
      </c>
      <c r="Q181" s="260"/>
      <c r="R181" s="260"/>
      <c r="S181" s="260"/>
      <c r="T181" s="260"/>
      <c r="U181" s="314"/>
      <c r="V181" s="314"/>
      <c r="W181" s="314"/>
      <c r="X181" s="315"/>
      <c r="Y181" s="267"/>
      <c r="Z181" s="262"/>
      <c r="AA181" s="262"/>
      <c r="AB181" s="251"/>
      <c r="AC181" s="388"/>
      <c r="AD181" s="389"/>
      <c r="AE181" s="389"/>
      <c r="AF181" s="390"/>
      <c r="AI181" s="226" t="str">
        <f>"2B:field225:" &amp; IF(I181="■",1,IF(L181="■",2,IF(O181="■",3,0)))</f>
        <v>2B:field225:0</v>
      </c>
    </row>
    <row r="182" spans="1:38" ht="18.75" customHeight="1" x14ac:dyDescent="0.15">
      <c r="A182" s="237"/>
      <c r="B182" s="238"/>
      <c r="C182" s="239"/>
      <c r="D182" s="252"/>
      <c r="E182" s="240"/>
      <c r="F182" s="219"/>
      <c r="G182" s="240"/>
      <c r="H182" s="270" t="s">
        <v>96</v>
      </c>
      <c r="I182" s="284" t="s">
        <v>184</v>
      </c>
      <c r="J182" s="255" t="s">
        <v>142</v>
      </c>
      <c r="K182" s="255"/>
      <c r="L182" s="258" t="s">
        <v>184</v>
      </c>
      <c r="M182" s="255" t="s">
        <v>146</v>
      </c>
      <c r="N182" s="255"/>
      <c r="O182" s="258" t="s">
        <v>184</v>
      </c>
      <c r="P182" s="255" t="s">
        <v>147</v>
      </c>
      <c r="Q182" s="288"/>
      <c r="R182" s="258" t="s">
        <v>184</v>
      </c>
      <c r="S182" s="255" t="s">
        <v>151</v>
      </c>
      <c r="T182" s="288"/>
      <c r="U182" s="288"/>
      <c r="V182" s="288"/>
      <c r="W182" s="288"/>
      <c r="X182" s="289"/>
      <c r="Y182" s="267"/>
      <c r="Z182" s="262"/>
      <c r="AA182" s="262"/>
      <c r="AB182" s="251"/>
      <c r="AC182" s="388"/>
      <c r="AD182" s="389"/>
      <c r="AE182" s="389"/>
      <c r="AF182" s="390"/>
      <c r="AI182" s="226" t="str">
        <f>"2B:serteikyo_kyoka_code:" &amp; IF(I182="■",1,IF(L182="■",6,IF(O182="■",5,IF(R182="■",7,0))))</f>
        <v>2B:serteikyo_kyoka_code:0</v>
      </c>
    </row>
    <row r="183" spans="1:38" ht="18.75" customHeight="1" x14ac:dyDescent="0.15">
      <c r="A183" s="237"/>
      <c r="B183" s="238"/>
      <c r="C183" s="239"/>
      <c r="D183" s="252"/>
      <c r="E183" s="240"/>
      <c r="F183" s="219"/>
      <c r="G183" s="240"/>
      <c r="H183" s="402" t="s">
        <v>209</v>
      </c>
      <c r="I183" s="417" t="s">
        <v>184</v>
      </c>
      <c r="J183" s="418" t="s">
        <v>142</v>
      </c>
      <c r="K183" s="418"/>
      <c r="L183" s="417" t="s">
        <v>184</v>
      </c>
      <c r="M183" s="418" t="s">
        <v>150</v>
      </c>
      <c r="N183" s="418"/>
      <c r="O183" s="322"/>
      <c r="P183" s="322"/>
      <c r="Q183" s="322"/>
      <c r="R183" s="322"/>
      <c r="S183" s="322"/>
      <c r="T183" s="322"/>
      <c r="U183" s="322"/>
      <c r="V183" s="322"/>
      <c r="W183" s="322"/>
      <c r="X183" s="323"/>
      <c r="Y183" s="267"/>
      <c r="Z183" s="262"/>
      <c r="AA183" s="262"/>
      <c r="AB183" s="251"/>
      <c r="AC183" s="388"/>
      <c r="AD183" s="389"/>
      <c r="AE183" s="389"/>
      <c r="AF183" s="390"/>
      <c r="AI183" s="226" t="str">
        <f>"2B:field221:" &amp; IF(I183="■",1,IF(L183="■",2,0))</f>
        <v>2B:field221:0</v>
      </c>
    </row>
    <row r="184" spans="1:38" ht="18.75" customHeight="1" x14ac:dyDescent="0.15">
      <c r="A184" s="237"/>
      <c r="B184" s="238"/>
      <c r="C184" s="239"/>
      <c r="D184" s="252"/>
      <c r="E184" s="240"/>
      <c r="F184" s="219"/>
      <c r="G184" s="240"/>
      <c r="H184" s="382"/>
      <c r="I184" s="417"/>
      <c r="J184" s="418"/>
      <c r="K184" s="418"/>
      <c r="L184" s="417"/>
      <c r="M184" s="418"/>
      <c r="N184" s="418"/>
      <c r="O184" s="316"/>
      <c r="P184" s="316"/>
      <c r="Q184" s="316"/>
      <c r="R184" s="316"/>
      <c r="S184" s="316"/>
      <c r="T184" s="316"/>
      <c r="U184" s="316"/>
      <c r="V184" s="316"/>
      <c r="W184" s="316"/>
      <c r="X184" s="317"/>
      <c r="Y184" s="267"/>
      <c r="Z184" s="262"/>
      <c r="AA184" s="262"/>
      <c r="AB184" s="251"/>
      <c r="AC184" s="388"/>
      <c r="AD184" s="389"/>
      <c r="AE184" s="389"/>
      <c r="AF184" s="390"/>
    </row>
    <row r="185" spans="1:38" ht="18.75" customHeight="1" x14ac:dyDescent="0.15">
      <c r="A185" s="271"/>
      <c r="B185" s="216"/>
      <c r="C185" s="272"/>
      <c r="D185" s="231"/>
      <c r="E185" s="236"/>
      <c r="F185" s="220"/>
      <c r="G185" s="273"/>
      <c r="H185" s="274" t="s">
        <v>208</v>
      </c>
      <c r="I185" s="275" t="s">
        <v>184</v>
      </c>
      <c r="J185" s="43" t="s">
        <v>142</v>
      </c>
      <c r="K185" s="43"/>
      <c r="L185" s="276" t="s">
        <v>184</v>
      </c>
      <c r="M185" s="43" t="s">
        <v>195</v>
      </c>
      <c r="N185" s="277"/>
      <c r="O185" s="276" t="s">
        <v>184</v>
      </c>
      <c r="P185" s="233" t="s">
        <v>196</v>
      </c>
      <c r="Q185" s="278"/>
      <c r="R185" s="276" t="s">
        <v>184</v>
      </c>
      <c r="S185" s="43" t="s">
        <v>197</v>
      </c>
      <c r="T185" s="278"/>
      <c r="U185" s="276" t="s">
        <v>184</v>
      </c>
      <c r="V185" s="43" t="s">
        <v>198</v>
      </c>
      <c r="W185" s="279"/>
      <c r="X185" s="280"/>
      <c r="Y185" s="281"/>
      <c r="Z185" s="281"/>
      <c r="AA185" s="281"/>
      <c r="AB185" s="282"/>
      <c r="AC185" s="391"/>
      <c r="AD185" s="392"/>
      <c r="AE185" s="392"/>
      <c r="AF185" s="393"/>
      <c r="AG185" s="226"/>
      <c r="AH185" s="226"/>
      <c r="AI185" s="226" t="str">
        <f>"2B:shoguukaizen_code:"&amp;IF(I185="■",1,IF(L185="■",7,IF(O185="■",8,IF(R185="■",9,IF(U185="■","A",0)))))</f>
        <v>2B:shoguukaizen_code:0</v>
      </c>
    </row>
    <row r="186" spans="1:38" s="221" customFormat="1" ht="20.25" customHeight="1" x14ac:dyDescent="0.15">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row>
  </sheetData>
  <mergeCells count="97">
    <mergeCell ref="I6:M6"/>
    <mergeCell ref="N6:W6"/>
    <mergeCell ref="X6:Z6"/>
    <mergeCell ref="A3:AF3"/>
    <mergeCell ref="I5:M5"/>
    <mergeCell ref="N5:W5"/>
    <mergeCell ref="X5:Z5"/>
    <mergeCell ref="AA5:AF5"/>
    <mergeCell ref="A9:C10"/>
    <mergeCell ref="H9:H10"/>
    <mergeCell ref="Y9:AB10"/>
    <mergeCell ref="AC9:AF10"/>
    <mergeCell ref="A8:C8"/>
    <mergeCell ref="D8:E8"/>
    <mergeCell ref="F8:G8"/>
    <mergeCell ref="H8:X8"/>
    <mergeCell ref="Y8:AB8"/>
    <mergeCell ref="AC8:AF8"/>
    <mergeCell ref="H20:H21"/>
    <mergeCell ref="AC20:AF31"/>
    <mergeCell ref="J28:K28"/>
    <mergeCell ref="M28:N28"/>
    <mergeCell ref="N16:P17"/>
    <mergeCell ref="AC11:AF19"/>
    <mergeCell ref="H14:H15"/>
    <mergeCell ref="I14:I15"/>
    <mergeCell ref="J14:L15"/>
    <mergeCell ref="M14:M15"/>
    <mergeCell ref="N14:P15"/>
    <mergeCell ref="H16:H17"/>
    <mergeCell ref="I16:I17"/>
    <mergeCell ref="J16:L17"/>
    <mergeCell ref="M16:M17"/>
    <mergeCell ref="H32:H33"/>
    <mergeCell ref="AC32:AF54"/>
    <mergeCell ref="H34:H35"/>
    <mergeCell ref="H46:H47"/>
    <mergeCell ref="H48:H49"/>
    <mergeCell ref="H52:H53"/>
    <mergeCell ref="I52:I53"/>
    <mergeCell ref="J52:K53"/>
    <mergeCell ref="L52:L53"/>
    <mergeCell ref="M52:N53"/>
    <mergeCell ref="H55:H56"/>
    <mergeCell ref="AC55:AF78"/>
    <mergeCell ref="H57:H58"/>
    <mergeCell ref="H70:H71"/>
    <mergeCell ref="H72:H73"/>
    <mergeCell ref="H76:H77"/>
    <mergeCell ref="I76:I77"/>
    <mergeCell ref="J76:K77"/>
    <mergeCell ref="L76:L77"/>
    <mergeCell ref="M76:N77"/>
    <mergeCell ref="H79:H80"/>
    <mergeCell ref="AC79:AF97"/>
    <mergeCell ref="H81:H82"/>
    <mergeCell ref="H95:H96"/>
    <mergeCell ref="I95:I96"/>
    <mergeCell ref="J95:K96"/>
    <mergeCell ref="L95:L96"/>
    <mergeCell ref="M95:N96"/>
    <mergeCell ref="H98:H99"/>
    <mergeCell ref="AC98:AF117"/>
    <mergeCell ref="H100:H101"/>
    <mergeCell ref="H115:H116"/>
    <mergeCell ref="I115:I116"/>
    <mergeCell ref="J115:K116"/>
    <mergeCell ref="L115:L116"/>
    <mergeCell ref="M115:N116"/>
    <mergeCell ref="H118:H119"/>
    <mergeCell ref="AC118:AF141"/>
    <mergeCell ref="H120:H121"/>
    <mergeCell ref="H133:H134"/>
    <mergeCell ref="H135:H136"/>
    <mergeCell ref="H139:H140"/>
    <mergeCell ref="I139:I140"/>
    <mergeCell ref="J139:K140"/>
    <mergeCell ref="L139:L140"/>
    <mergeCell ref="M139:N140"/>
    <mergeCell ref="H142:H143"/>
    <mergeCell ref="AC142:AF165"/>
    <mergeCell ref="H144:H145"/>
    <mergeCell ref="H157:H158"/>
    <mergeCell ref="H159:H160"/>
    <mergeCell ref="H163:H164"/>
    <mergeCell ref="I163:I164"/>
    <mergeCell ref="J163:K164"/>
    <mergeCell ref="L163:L164"/>
    <mergeCell ref="M163:N164"/>
    <mergeCell ref="H166:H167"/>
    <mergeCell ref="AC166:AF185"/>
    <mergeCell ref="H168:H169"/>
    <mergeCell ref="H183:H184"/>
    <mergeCell ref="I183:I184"/>
    <mergeCell ref="J183:K184"/>
    <mergeCell ref="L183:L184"/>
    <mergeCell ref="M183:N184"/>
  </mergeCells>
  <phoneticPr fontId="1"/>
  <conditionalFormatting sqref="A7:AF1048576">
    <cfRule type="expression" dxfId="1" priority="2">
      <formula>CELL("protect",A7)=0</formula>
    </cfRule>
  </conditionalFormatting>
  <conditionalFormatting sqref="A1:AF4">
    <cfRule type="expression" dxfId="0" priority="1">
      <formula>CELL("protect",A1)=0</formula>
    </cfRule>
  </conditionalFormatting>
  <dataValidations count="1">
    <dataValidation type="list" allowBlank="1" showInputMessage="1" showErrorMessage="1" sqref="Q9:Q10 U9:U10 L13 O19 U20 A25 L90:L97 R165 O165 U78:U79 Q32 L41 L43:L45 O45 Q34 P46 M48 O50:O51 R51 Y32:Y33 Q55 Q57 L65 L67:L69 O69 P70 M72 O74:O75 R75 Y55:Y56 A43 Q79 Q81 L88 F42:F44 R94 Y79:Y80 Q118 Q120 L128 L130:L132 O132 P133 M135 R138 O137:O138 Y118:Y119 D43 R97 R78 Q142 Q144 L152 L154:L156 O156 P157 M159 R162 O161:O162 Y142:Y143 F129:F130 Q166 Q168 L176 R182 Y166:Y167 L74:L78 Q48:Q49 Q72:Q73 O92:O94 Q135:Q136 Q159:Q160 O180:O182 F176:F177 M14:M17 M177 M42 M66 M89 M129 M153 O141 R141 M20:M23 M32:M40 D24:D26 U117:U118 U141:U142 U165:U166 L161:L165 D88 O117 A88 D129 O54 O78 U54:U55 L178:L185 A129 R54 M118:M127 M79:M87 M9:M12 R185 L50:L54 Q20:Q21 A15 Y20:Y21 U185 O185 L18:L19 O30:O31 D14:D16 L24:L31 M142:M151 R30:R31 M166:M175 L137:L141 D66 Y11:Y12 A176 D176 D153 A153 M55:M64 F107 F65:F67 A66 M98:M107 U97:U98 O97 L110:L117 Q98 Q100 L108 R114 Y98:Y99 R117 O112:O114 M109 F88 D107 A107 I9:I185 U31:U32" xr:uid="{6751084B-4EC3-41F3-9E46-6ED5DAB28D93}">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8" manualBreakCount="8">
    <brk id="19" min="4" max="31" man="1"/>
    <brk id="31" max="16383" man="1"/>
    <brk id="54" max="16383" man="1"/>
    <brk id="78" min="4" max="31" man="1"/>
    <brk id="97" max="16383" man="1"/>
    <brk id="117" max="16383" man="1"/>
    <brk id="141" max="16383" man="1"/>
    <brk id="165" min="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5" t="s">
        <v>70</v>
      </c>
      <c r="AA3" s="446"/>
      <c r="AB3" s="446"/>
      <c r="AC3" s="446"/>
      <c r="AD3" s="447"/>
      <c r="AE3" s="436"/>
      <c r="AF3" s="437"/>
      <c r="AG3" s="437"/>
      <c r="AH3" s="437"/>
      <c r="AI3" s="437"/>
      <c r="AJ3" s="437"/>
      <c r="AK3" s="437"/>
      <c r="AL3" s="438"/>
      <c r="AM3" s="20"/>
      <c r="AN3" s="1"/>
    </row>
    <row r="4" spans="2:40" s="2" customFormat="1" x14ac:dyDescent="0.15">
      <c r="AN4" s="21"/>
    </row>
    <row r="5" spans="2:40" s="2" customFormat="1" x14ac:dyDescent="0.15">
      <c r="B5" s="537" t="s">
        <v>42</v>
      </c>
      <c r="C5" s="537"/>
      <c r="D5" s="537"/>
      <c r="E5" s="537"/>
      <c r="F5" s="537"/>
      <c r="G5" s="537"/>
      <c r="H5" s="537"/>
      <c r="I5" s="537"/>
      <c r="J5" s="537"/>
      <c r="K5" s="537"/>
      <c r="L5" s="537"/>
      <c r="M5" s="537"/>
      <c r="N5" s="537"/>
      <c r="O5" s="537"/>
      <c r="P5" s="537"/>
      <c r="Q5" s="537"/>
      <c r="R5" s="537"/>
      <c r="S5" s="537"/>
      <c r="T5" s="537"/>
      <c r="U5" s="537"/>
      <c r="V5" s="537"/>
      <c r="W5" s="537"/>
      <c r="X5" s="537"/>
      <c r="Y5" s="537"/>
      <c r="Z5" s="537"/>
      <c r="AA5" s="537"/>
      <c r="AB5" s="537"/>
      <c r="AC5" s="537"/>
      <c r="AD5" s="537"/>
      <c r="AE5" s="537"/>
      <c r="AF5" s="537"/>
      <c r="AG5" s="537"/>
      <c r="AH5" s="537"/>
      <c r="AI5" s="537"/>
      <c r="AJ5" s="537"/>
      <c r="AK5" s="537"/>
      <c r="AL5" s="537"/>
    </row>
    <row r="6" spans="2:40" s="2" customFormat="1" ht="13.5" customHeight="1" x14ac:dyDescent="0.15">
      <c r="AC6" s="1"/>
      <c r="AD6" s="45"/>
      <c r="AE6" s="45" t="s">
        <v>29</v>
      </c>
      <c r="AH6" s="2" t="s">
        <v>35</v>
      </c>
      <c r="AJ6" s="2" t="s">
        <v>31</v>
      </c>
      <c r="AL6" s="2" t="s">
        <v>30</v>
      </c>
    </row>
    <row r="7" spans="2:40" s="2" customFormat="1" x14ac:dyDescent="0.15">
      <c r="B7" s="537" t="s">
        <v>71</v>
      </c>
      <c r="C7" s="537"/>
      <c r="D7" s="537"/>
      <c r="E7" s="537"/>
      <c r="F7" s="537"/>
      <c r="G7" s="537"/>
      <c r="H7" s="537"/>
      <c r="I7" s="537"/>
      <c r="J7" s="537"/>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452" t="s">
        <v>72</v>
      </c>
      <c r="C11" s="514" t="s">
        <v>7</v>
      </c>
      <c r="D11" s="515"/>
      <c r="E11" s="515"/>
      <c r="F11" s="515"/>
      <c r="G11" s="515"/>
      <c r="H11" s="515"/>
      <c r="I11" s="515"/>
      <c r="J11" s="515"/>
      <c r="K11" s="52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3"/>
      <c r="C12" s="517" t="s">
        <v>73</v>
      </c>
      <c r="D12" s="518"/>
      <c r="E12" s="518"/>
      <c r="F12" s="518"/>
      <c r="G12" s="518"/>
      <c r="H12" s="518"/>
      <c r="I12" s="518"/>
      <c r="J12" s="518"/>
      <c r="K12" s="5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3"/>
      <c r="C13" s="514" t="s">
        <v>8</v>
      </c>
      <c r="D13" s="515"/>
      <c r="E13" s="515"/>
      <c r="F13" s="515"/>
      <c r="G13" s="515"/>
      <c r="H13" s="515"/>
      <c r="I13" s="515"/>
      <c r="J13" s="515"/>
      <c r="K13" s="516"/>
      <c r="L13" s="504" t="s">
        <v>74</v>
      </c>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6"/>
    </row>
    <row r="14" spans="2:40" s="2" customFormat="1" x14ac:dyDescent="0.15">
      <c r="B14" s="453"/>
      <c r="C14" s="517"/>
      <c r="D14" s="518"/>
      <c r="E14" s="518"/>
      <c r="F14" s="518"/>
      <c r="G14" s="518"/>
      <c r="H14" s="518"/>
      <c r="I14" s="518"/>
      <c r="J14" s="518"/>
      <c r="K14" s="519"/>
      <c r="L14" s="507" t="s">
        <v>75</v>
      </c>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9"/>
    </row>
    <row r="15" spans="2:40" s="2" customFormat="1" x14ac:dyDescent="0.15">
      <c r="B15" s="453"/>
      <c r="C15" s="520"/>
      <c r="D15" s="521"/>
      <c r="E15" s="521"/>
      <c r="F15" s="521"/>
      <c r="G15" s="521"/>
      <c r="H15" s="521"/>
      <c r="I15" s="521"/>
      <c r="J15" s="521"/>
      <c r="K15" s="522"/>
      <c r="L15" s="533" t="s">
        <v>76</v>
      </c>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3"/>
    </row>
    <row r="16" spans="2:40" s="2" customFormat="1" ht="14.25" customHeight="1" x14ac:dyDescent="0.15">
      <c r="B16" s="453"/>
      <c r="C16" s="534" t="s">
        <v>77</v>
      </c>
      <c r="D16" s="535"/>
      <c r="E16" s="535"/>
      <c r="F16" s="535"/>
      <c r="G16" s="535"/>
      <c r="H16" s="535"/>
      <c r="I16" s="535"/>
      <c r="J16" s="535"/>
      <c r="K16" s="536"/>
      <c r="L16" s="445" t="s">
        <v>9</v>
      </c>
      <c r="M16" s="446"/>
      <c r="N16" s="446"/>
      <c r="O16" s="446"/>
      <c r="P16" s="447"/>
      <c r="Q16" s="24"/>
      <c r="R16" s="25"/>
      <c r="S16" s="25"/>
      <c r="T16" s="25"/>
      <c r="U16" s="25"/>
      <c r="V16" s="25"/>
      <c r="W16" s="25"/>
      <c r="X16" s="25"/>
      <c r="Y16" s="26"/>
      <c r="Z16" s="524" t="s">
        <v>10</v>
      </c>
      <c r="AA16" s="525"/>
      <c r="AB16" s="525"/>
      <c r="AC16" s="525"/>
      <c r="AD16" s="526"/>
      <c r="AE16" s="28"/>
      <c r="AF16" s="32"/>
      <c r="AG16" s="22"/>
      <c r="AH16" s="22"/>
      <c r="AI16" s="22"/>
      <c r="AJ16" s="505"/>
      <c r="AK16" s="505"/>
      <c r="AL16" s="506"/>
    </row>
    <row r="17" spans="2:40" ht="14.25" customHeight="1" x14ac:dyDescent="0.15">
      <c r="B17" s="453"/>
      <c r="C17" s="529" t="s">
        <v>54</v>
      </c>
      <c r="D17" s="530"/>
      <c r="E17" s="530"/>
      <c r="F17" s="530"/>
      <c r="G17" s="530"/>
      <c r="H17" s="530"/>
      <c r="I17" s="530"/>
      <c r="J17" s="530"/>
      <c r="K17" s="531"/>
      <c r="L17" s="27"/>
      <c r="M17" s="27"/>
      <c r="N17" s="27"/>
      <c r="O17" s="27"/>
      <c r="P17" s="27"/>
      <c r="Q17" s="27"/>
      <c r="R17" s="27"/>
      <c r="S17" s="27"/>
      <c r="U17" s="445" t="s">
        <v>11</v>
      </c>
      <c r="V17" s="446"/>
      <c r="W17" s="446"/>
      <c r="X17" s="446"/>
      <c r="Y17" s="447"/>
      <c r="Z17" s="18"/>
      <c r="AA17" s="19"/>
      <c r="AB17" s="19"/>
      <c r="AC17" s="19"/>
      <c r="AD17" s="19"/>
      <c r="AE17" s="532"/>
      <c r="AF17" s="532"/>
      <c r="AG17" s="532"/>
      <c r="AH17" s="532"/>
      <c r="AI17" s="532"/>
      <c r="AJ17" s="532"/>
      <c r="AK17" s="532"/>
      <c r="AL17" s="17"/>
      <c r="AN17" s="3"/>
    </row>
    <row r="18" spans="2:40" ht="14.25" customHeight="1" x14ac:dyDescent="0.15">
      <c r="B18" s="453"/>
      <c r="C18" s="448" t="s">
        <v>12</v>
      </c>
      <c r="D18" s="448"/>
      <c r="E18" s="448"/>
      <c r="F18" s="448"/>
      <c r="G18" s="448"/>
      <c r="H18" s="541"/>
      <c r="I18" s="541"/>
      <c r="J18" s="541"/>
      <c r="K18" s="542"/>
      <c r="L18" s="445" t="s">
        <v>13</v>
      </c>
      <c r="M18" s="446"/>
      <c r="N18" s="446"/>
      <c r="O18" s="446"/>
      <c r="P18" s="447"/>
      <c r="Q18" s="29"/>
      <c r="R18" s="30"/>
      <c r="S18" s="30"/>
      <c r="T18" s="30"/>
      <c r="U18" s="30"/>
      <c r="V18" s="30"/>
      <c r="W18" s="30"/>
      <c r="X18" s="30"/>
      <c r="Y18" s="31"/>
      <c r="Z18" s="456" t="s">
        <v>14</v>
      </c>
      <c r="AA18" s="456"/>
      <c r="AB18" s="456"/>
      <c r="AC18" s="456"/>
      <c r="AD18" s="457"/>
      <c r="AE18" s="15"/>
      <c r="AF18" s="16"/>
      <c r="AG18" s="16"/>
      <c r="AH18" s="16"/>
      <c r="AI18" s="16"/>
      <c r="AJ18" s="16"/>
      <c r="AK18" s="16"/>
      <c r="AL18" s="17"/>
      <c r="AN18" s="3"/>
    </row>
    <row r="19" spans="2:40" ht="13.5" customHeight="1" x14ac:dyDescent="0.15">
      <c r="B19" s="453"/>
      <c r="C19" s="502" t="s">
        <v>15</v>
      </c>
      <c r="D19" s="502"/>
      <c r="E19" s="502"/>
      <c r="F19" s="502"/>
      <c r="G19" s="502"/>
      <c r="H19" s="538"/>
      <c r="I19" s="538"/>
      <c r="J19" s="538"/>
      <c r="K19" s="538"/>
      <c r="L19" s="504" t="s">
        <v>74</v>
      </c>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5"/>
      <c r="AK19" s="505"/>
      <c r="AL19" s="506"/>
      <c r="AN19" s="3"/>
    </row>
    <row r="20" spans="2:40" ht="14.25" customHeight="1" x14ac:dyDescent="0.15">
      <c r="B20" s="453"/>
      <c r="C20" s="502"/>
      <c r="D20" s="502"/>
      <c r="E20" s="502"/>
      <c r="F20" s="502"/>
      <c r="G20" s="502"/>
      <c r="H20" s="538"/>
      <c r="I20" s="538"/>
      <c r="J20" s="538"/>
      <c r="K20" s="538"/>
      <c r="L20" s="507" t="s">
        <v>75</v>
      </c>
      <c r="M20" s="508"/>
      <c r="N20" s="508"/>
      <c r="O20" s="508"/>
      <c r="P20" s="508"/>
      <c r="Q20" s="508"/>
      <c r="R20" s="508"/>
      <c r="S20" s="508"/>
      <c r="T20" s="508"/>
      <c r="U20" s="508"/>
      <c r="V20" s="508"/>
      <c r="W20" s="508"/>
      <c r="X20" s="508"/>
      <c r="Y20" s="508"/>
      <c r="Z20" s="508"/>
      <c r="AA20" s="508"/>
      <c r="AB20" s="508"/>
      <c r="AC20" s="508"/>
      <c r="AD20" s="508"/>
      <c r="AE20" s="508"/>
      <c r="AF20" s="508"/>
      <c r="AG20" s="508"/>
      <c r="AH20" s="508"/>
      <c r="AI20" s="508"/>
      <c r="AJ20" s="508"/>
      <c r="AK20" s="508"/>
      <c r="AL20" s="509"/>
      <c r="AN20" s="3"/>
    </row>
    <row r="21" spans="2:40" x14ac:dyDescent="0.15">
      <c r="B21" s="454"/>
      <c r="C21" s="539"/>
      <c r="D21" s="539"/>
      <c r="E21" s="539"/>
      <c r="F21" s="539"/>
      <c r="G21" s="539"/>
      <c r="H21" s="540"/>
      <c r="I21" s="540"/>
      <c r="J21" s="540"/>
      <c r="K21" s="540"/>
      <c r="L21" s="510"/>
      <c r="M21" s="511"/>
      <c r="N21" s="511"/>
      <c r="O21" s="511"/>
      <c r="P21" s="511"/>
      <c r="Q21" s="511"/>
      <c r="R21" s="511"/>
      <c r="S21" s="511"/>
      <c r="T21" s="511"/>
      <c r="U21" s="511"/>
      <c r="V21" s="511"/>
      <c r="W21" s="511"/>
      <c r="X21" s="511"/>
      <c r="Y21" s="511"/>
      <c r="Z21" s="511"/>
      <c r="AA21" s="511"/>
      <c r="AB21" s="511"/>
      <c r="AC21" s="511"/>
      <c r="AD21" s="511"/>
      <c r="AE21" s="511"/>
      <c r="AF21" s="511"/>
      <c r="AG21" s="511"/>
      <c r="AH21" s="511"/>
      <c r="AI21" s="511"/>
      <c r="AJ21" s="511"/>
      <c r="AK21" s="511"/>
      <c r="AL21" s="523"/>
      <c r="AN21" s="3"/>
    </row>
    <row r="22" spans="2:40" ht="13.5" customHeight="1" x14ac:dyDescent="0.15">
      <c r="B22" s="472" t="s">
        <v>78</v>
      </c>
      <c r="C22" s="514" t="s">
        <v>103</v>
      </c>
      <c r="D22" s="515"/>
      <c r="E22" s="515"/>
      <c r="F22" s="515"/>
      <c r="G22" s="515"/>
      <c r="H22" s="515"/>
      <c r="I22" s="515"/>
      <c r="J22" s="515"/>
      <c r="K22" s="516"/>
      <c r="L22" s="504" t="s">
        <v>74</v>
      </c>
      <c r="M22" s="505"/>
      <c r="N22" s="505"/>
      <c r="O22" s="505"/>
      <c r="P22" s="505"/>
      <c r="Q22" s="505"/>
      <c r="R22" s="505"/>
      <c r="S22" s="505"/>
      <c r="T22" s="505"/>
      <c r="U22" s="505"/>
      <c r="V22" s="505"/>
      <c r="W22" s="505"/>
      <c r="X22" s="505"/>
      <c r="Y22" s="505"/>
      <c r="Z22" s="505"/>
      <c r="AA22" s="505"/>
      <c r="AB22" s="505"/>
      <c r="AC22" s="505"/>
      <c r="AD22" s="505"/>
      <c r="AE22" s="505"/>
      <c r="AF22" s="505"/>
      <c r="AG22" s="505"/>
      <c r="AH22" s="505"/>
      <c r="AI22" s="505"/>
      <c r="AJ22" s="505"/>
      <c r="AK22" s="505"/>
      <c r="AL22" s="506"/>
      <c r="AN22" s="3"/>
    </row>
    <row r="23" spans="2:40" ht="14.25" customHeight="1" x14ac:dyDescent="0.15">
      <c r="B23" s="473"/>
      <c r="C23" s="517"/>
      <c r="D23" s="518"/>
      <c r="E23" s="518"/>
      <c r="F23" s="518"/>
      <c r="G23" s="518"/>
      <c r="H23" s="518"/>
      <c r="I23" s="518"/>
      <c r="J23" s="518"/>
      <c r="K23" s="519"/>
      <c r="L23" s="507" t="s">
        <v>75</v>
      </c>
      <c r="M23" s="508"/>
      <c r="N23" s="508"/>
      <c r="O23" s="508"/>
      <c r="P23" s="508"/>
      <c r="Q23" s="508"/>
      <c r="R23" s="508"/>
      <c r="S23" s="508"/>
      <c r="T23" s="508"/>
      <c r="U23" s="508"/>
      <c r="V23" s="508"/>
      <c r="W23" s="508"/>
      <c r="X23" s="508"/>
      <c r="Y23" s="508"/>
      <c r="Z23" s="508"/>
      <c r="AA23" s="508"/>
      <c r="AB23" s="508"/>
      <c r="AC23" s="508"/>
      <c r="AD23" s="508"/>
      <c r="AE23" s="508"/>
      <c r="AF23" s="508"/>
      <c r="AG23" s="508"/>
      <c r="AH23" s="508"/>
      <c r="AI23" s="508"/>
      <c r="AJ23" s="508"/>
      <c r="AK23" s="508"/>
      <c r="AL23" s="509"/>
      <c r="AN23" s="3"/>
    </row>
    <row r="24" spans="2:40" x14ac:dyDescent="0.15">
      <c r="B24" s="473"/>
      <c r="C24" s="520"/>
      <c r="D24" s="521"/>
      <c r="E24" s="521"/>
      <c r="F24" s="521"/>
      <c r="G24" s="521"/>
      <c r="H24" s="521"/>
      <c r="I24" s="521"/>
      <c r="J24" s="521"/>
      <c r="K24" s="522"/>
      <c r="L24" s="510"/>
      <c r="M24" s="511"/>
      <c r="N24" s="511"/>
      <c r="O24" s="511"/>
      <c r="P24" s="511"/>
      <c r="Q24" s="511"/>
      <c r="R24" s="511"/>
      <c r="S24" s="511"/>
      <c r="T24" s="511"/>
      <c r="U24" s="511"/>
      <c r="V24" s="511"/>
      <c r="W24" s="511"/>
      <c r="X24" s="511"/>
      <c r="Y24" s="511"/>
      <c r="Z24" s="511"/>
      <c r="AA24" s="511"/>
      <c r="AB24" s="511"/>
      <c r="AC24" s="511"/>
      <c r="AD24" s="511"/>
      <c r="AE24" s="511"/>
      <c r="AF24" s="511"/>
      <c r="AG24" s="511"/>
      <c r="AH24" s="511"/>
      <c r="AI24" s="511"/>
      <c r="AJ24" s="511"/>
      <c r="AK24" s="511"/>
      <c r="AL24" s="523"/>
      <c r="AN24" s="3"/>
    </row>
    <row r="25" spans="2:40" ht="14.25" customHeight="1" x14ac:dyDescent="0.15">
      <c r="B25" s="473"/>
      <c r="C25" s="502" t="s">
        <v>77</v>
      </c>
      <c r="D25" s="502"/>
      <c r="E25" s="502"/>
      <c r="F25" s="502"/>
      <c r="G25" s="502"/>
      <c r="H25" s="502"/>
      <c r="I25" s="502"/>
      <c r="J25" s="502"/>
      <c r="K25" s="502"/>
      <c r="L25" s="445" t="s">
        <v>9</v>
      </c>
      <c r="M25" s="446"/>
      <c r="N25" s="446"/>
      <c r="O25" s="446"/>
      <c r="P25" s="447"/>
      <c r="Q25" s="24"/>
      <c r="R25" s="25"/>
      <c r="S25" s="25"/>
      <c r="T25" s="25"/>
      <c r="U25" s="25"/>
      <c r="V25" s="25"/>
      <c r="W25" s="25"/>
      <c r="X25" s="25"/>
      <c r="Y25" s="26"/>
      <c r="Z25" s="524" t="s">
        <v>10</v>
      </c>
      <c r="AA25" s="525"/>
      <c r="AB25" s="525"/>
      <c r="AC25" s="525"/>
      <c r="AD25" s="526"/>
      <c r="AE25" s="28"/>
      <c r="AF25" s="32"/>
      <c r="AG25" s="22"/>
      <c r="AH25" s="22"/>
      <c r="AI25" s="22"/>
      <c r="AJ25" s="505"/>
      <c r="AK25" s="505"/>
      <c r="AL25" s="506"/>
      <c r="AN25" s="3"/>
    </row>
    <row r="26" spans="2:40" ht="13.5" customHeight="1" x14ac:dyDescent="0.15">
      <c r="B26" s="473"/>
      <c r="C26" s="527" t="s">
        <v>16</v>
      </c>
      <c r="D26" s="527"/>
      <c r="E26" s="527"/>
      <c r="F26" s="527"/>
      <c r="G26" s="527"/>
      <c r="H26" s="527"/>
      <c r="I26" s="527"/>
      <c r="J26" s="527"/>
      <c r="K26" s="527"/>
      <c r="L26" s="504" t="s">
        <v>74</v>
      </c>
      <c r="M26" s="505"/>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05"/>
      <c r="AL26" s="506"/>
      <c r="AN26" s="3"/>
    </row>
    <row r="27" spans="2:40" ht="14.25" customHeight="1" x14ac:dyDescent="0.15">
      <c r="B27" s="473"/>
      <c r="C27" s="527"/>
      <c r="D27" s="527"/>
      <c r="E27" s="527"/>
      <c r="F27" s="527"/>
      <c r="G27" s="527"/>
      <c r="H27" s="527"/>
      <c r="I27" s="527"/>
      <c r="J27" s="527"/>
      <c r="K27" s="527"/>
      <c r="L27" s="507" t="s">
        <v>75</v>
      </c>
      <c r="M27" s="508"/>
      <c r="N27" s="508"/>
      <c r="O27" s="508"/>
      <c r="P27" s="508"/>
      <c r="Q27" s="508"/>
      <c r="R27" s="508"/>
      <c r="S27" s="508"/>
      <c r="T27" s="508"/>
      <c r="U27" s="508"/>
      <c r="V27" s="508"/>
      <c r="W27" s="508"/>
      <c r="X27" s="508"/>
      <c r="Y27" s="508"/>
      <c r="Z27" s="508"/>
      <c r="AA27" s="508"/>
      <c r="AB27" s="508"/>
      <c r="AC27" s="508"/>
      <c r="AD27" s="508"/>
      <c r="AE27" s="508"/>
      <c r="AF27" s="508"/>
      <c r="AG27" s="508"/>
      <c r="AH27" s="508"/>
      <c r="AI27" s="508"/>
      <c r="AJ27" s="508"/>
      <c r="AK27" s="508"/>
      <c r="AL27" s="509"/>
      <c r="AN27" s="3"/>
    </row>
    <row r="28" spans="2:40" x14ac:dyDescent="0.15">
      <c r="B28" s="473"/>
      <c r="C28" s="527"/>
      <c r="D28" s="527"/>
      <c r="E28" s="527"/>
      <c r="F28" s="527"/>
      <c r="G28" s="527"/>
      <c r="H28" s="527"/>
      <c r="I28" s="527"/>
      <c r="J28" s="527"/>
      <c r="K28" s="527"/>
      <c r="L28" s="510"/>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23"/>
      <c r="AN28" s="3"/>
    </row>
    <row r="29" spans="2:40" ht="14.25" customHeight="1" x14ac:dyDescent="0.15">
      <c r="B29" s="473"/>
      <c r="C29" s="502" t="s">
        <v>77</v>
      </c>
      <c r="D29" s="502"/>
      <c r="E29" s="502"/>
      <c r="F29" s="502"/>
      <c r="G29" s="502"/>
      <c r="H29" s="502"/>
      <c r="I29" s="502"/>
      <c r="J29" s="502"/>
      <c r="K29" s="502"/>
      <c r="L29" s="445" t="s">
        <v>9</v>
      </c>
      <c r="M29" s="446"/>
      <c r="N29" s="446"/>
      <c r="O29" s="446"/>
      <c r="P29" s="447"/>
      <c r="Q29" s="28"/>
      <c r="R29" s="32"/>
      <c r="S29" s="32"/>
      <c r="T29" s="32"/>
      <c r="U29" s="32"/>
      <c r="V29" s="32"/>
      <c r="W29" s="32"/>
      <c r="X29" s="32"/>
      <c r="Y29" s="33"/>
      <c r="Z29" s="524" t="s">
        <v>10</v>
      </c>
      <c r="AA29" s="525"/>
      <c r="AB29" s="525"/>
      <c r="AC29" s="525"/>
      <c r="AD29" s="526"/>
      <c r="AE29" s="28"/>
      <c r="AF29" s="32"/>
      <c r="AG29" s="22"/>
      <c r="AH29" s="22"/>
      <c r="AI29" s="22"/>
      <c r="AJ29" s="505"/>
      <c r="AK29" s="505"/>
      <c r="AL29" s="506"/>
      <c r="AN29" s="3"/>
    </row>
    <row r="30" spans="2:40" ht="14.25" customHeight="1" x14ac:dyDescent="0.15">
      <c r="B30" s="473"/>
      <c r="C30" s="502" t="s">
        <v>17</v>
      </c>
      <c r="D30" s="502"/>
      <c r="E30" s="502"/>
      <c r="F30" s="502"/>
      <c r="G30" s="502"/>
      <c r="H30" s="502"/>
      <c r="I30" s="502"/>
      <c r="J30" s="502"/>
      <c r="K30" s="502"/>
      <c r="L30" s="503"/>
      <c r="M30" s="503"/>
      <c r="N30" s="503"/>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3"/>
      <c r="AL30" s="503"/>
      <c r="AN30" s="3"/>
    </row>
    <row r="31" spans="2:40" ht="13.5" customHeight="1" x14ac:dyDescent="0.15">
      <c r="B31" s="473"/>
      <c r="C31" s="502" t="s">
        <v>18</v>
      </c>
      <c r="D31" s="502"/>
      <c r="E31" s="502"/>
      <c r="F31" s="502"/>
      <c r="G31" s="502"/>
      <c r="H31" s="502"/>
      <c r="I31" s="502"/>
      <c r="J31" s="502"/>
      <c r="K31" s="502"/>
      <c r="L31" s="504" t="s">
        <v>74</v>
      </c>
      <c r="M31" s="505"/>
      <c r="N31" s="505"/>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6"/>
      <c r="AN31" s="3"/>
    </row>
    <row r="32" spans="2:40" ht="14.25" customHeight="1" x14ac:dyDescent="0.15">
      <c r="B32" s="473"/>
      <c r="C32" s="502"/>
      <c r="D32" s="502"/>
      <c r="E32" s="502"/>
      <c r="F32" s="502"/>
      <c r="G32" s="502"/>
      <c r="H32" s="502"/>
      <c r="I32" s="502"/>
      <c r="J32" s="502"/>
      <c r="K32" s="502"/>
      <c r="L32" s="507" t="s">
        <v>75</v>
      </c>
      <c r="M32" s="508"/>
      <c r="N32" s="508"/>
      <c r="O32" s="508"/>
      <c r="P32" s="508"/>
      <c r="Q32" s="508"/>
      <c r="R32" s="508"/>
      <c r="S32" s="508"/>
      <c r="T32" s="508"/>
      <c r="U32" s="508"/>
      <c r="V32" s="508"/>
      <c r="W32" s="508"/>
      <c r="X32" s="508"/>
      <c r="Y32" s="508"/>
      <c r="Z32" s="508"/>
      <c r="AA32" s="508"/>
      <c r="AB32" s="508"/>
      <c r="AC32" s="508"/>
      <c r="AD32" s="508"/>
      <c r="AE32" s="508"/>
      <c r="AF32" s="508"/>
      <c r="AG32" s="508"/>
      <c r="AH32" s="508"/>
      <c r="AI32" s="508"/>
      <c r="AJ32" s="508"/>
      <c r="AK32" s="508"/>
      <c r="AL32" s="509"/>
      <c r="AN32" s="3"/>
    </row>
    <row r="33" spans="2:40" x14ac:dyDescent="0.15">
      <c r="B33" s="474"/>
      <c r="C33" s="502"/>
      <c r="D33" s="502"/>
      <c r="E33" s="502"/>
      <c r="F33" s="502"/>
      <c r="G33" s="502"/>
      <c r="H33" s="502"/>
      <c r="I33" s="502"/>
      <c r="J33" s="502"/>
      <c r="K33" s="502"/>
      <c r="L33" s="510"/>
      <c r="M33" s="511"/>
      <c r="N33" s="512"/>
      <c r="O33" s="512"/>
      <c r="P33" s="512"/>
      <c r="Q33" s="512"/>
      <c r="R33" s="512"/>
      <c r="S33" s="512"/>
      <c r="T33" s="512"/>
      <c r="U33" s="512"/>
      <c r="V33" s="512"/>
      <c r="W33" s="512"/>
      <c r="X33" s="512"/>
      <c r="Y33" s="512"/>
      <c r="Z33" s="512"/>
      <c r="AA33" s="512"/>
      <c r="AB33" s="512"/>
      <c r="AC33" s="511"/>
      <c r="AD33" s="511"/>
      <c r="AE33" s="511"/>
      <c r="AF33" s="511"/>
      <c r="AG33" s="511"/>
      <c r="AH33" s="512"/>
      <c r="AI33" s="512"/>
      <c r="AJ33" s="512"/>
      <c r="AK33" s="512"/>
      <c r="AL33" s="513"/>
      <c r="AN33" s="3"/>
    </row>
    <row r="34" spans="2:40" ht="13.5" customHeight="1" x14ac:dyDescent="0.15">
      <c r="B34" s="472" t="s">
        <v>44</v>
      </c>
      <c r="C34" s="475" t="s">
        <v>79</v>
      </c>
      <c r="D34" s="476"/>
      <c r="E34" s="476"/>
      <c r="F34" s="476"/>
      <c r="G34" s="476"/>
      <c r="H34" s="476"/>
      <c r="I34" s="476"/>
      <c r="J34" s="476"/>
      <c r="K34" s="476"/>
      <c r="L34" s="476"/>
      <c r="M34" s="497" t="s">
        <v>19</v>
      </c>
      <c r="N34" s="462"/>
      <c r="O34" s="53" t="s">
        <v>46</v>
      </c>
      <c r="P34" s="49"/>
      <c r="Q34" s="50"/>
      <c r="R34" s="429" t="s">
        <v>20</v>
      </c>
      <c r="S34" s="430"/>
      <c r="T34" s="430"/>
      <c r="U34" s="430"/>
      <c r="V34" s="430"/>
      <c r="W34" s="430"/>
      <c r="X34" s="431"/>
      <c r="Y34" s="499" t="s">
        <v>56</v>
      </c>
      <c r="Z34" s="500"/>
      <c r="AA34" s="500"/>
      <c r="AB34" s="501"/>
      <c r="AC34" s="482" t="s">
        <v>57</v>
      </c>
      <c r="AD34" s="483"/>
      <c r="AE34" s="483"/>
      <c r="AF34" s="483"/>
      <c r="AG34" s="484"/>
      <c r="AH34" s="485" t="s">
        <v>51</v>
      </c>
      <c r="AI34" s="486"/>
      <c r="AJ34" s="486"/>
      <c r="AK34" s="486"/>
      <c r="AL34" s="487"/>
      <c r="AN34" s="3"/>
    </row>
    <row r="35" spans="2:40" ht="14.25" customHeight="1" x14ac:dyDescent="0.15">
      <c r="B35" s="473"/>
      <c r="C35" s="477"/>
      <c r="D35" s="478"/>
      <c r="E35" s="478"/>
      <c r="F35" s="478"/>
      <c r="G35" s="478"/>
      <c r="H35" s="478"/>
      <c r="I35" s="478"/>
      <c r="J35" s="478"/>
      <c r="K35" s="478"/>
      <c r="L35" s="478"/>
      <c r="M35" s="498"/>
      <c r="N35" s="465"/>
      <c r="O35" s="54" t="s">
        <v>47</v>
      </c>
      <c r="P35" s="51"/>
      <c r="Q35" s="52"/>
      <c r="R35" s="432"/>
      <c r="S35" s="433"/>
      <c r="T35" s="433"/>
      <c r="U35" s="433"/>
      <c r="V35" s="433"/>
      <c r="W35" s="433"/>
      <c r="X35" s="434"/>
      <c r="Y35" s="55" t="s">
        <v>32</v>
      </c>
      <c r="Z35" s="14"/>
      <c r="AA35" s="14"/>
      <c r="AB35" s="14"/>
      <c r="AC35" s="488" t="s">
        <v>33</v>
      </c>
      <c r="AD35" s="489"/>
      <c r="AE35" s="489"/>
      <c r="AF35" s="489"/>
      <c r="AG35" s="490"/>
      <c r="AH35" s="491" t="s">
        <v>52</v>
      </c>
      <c r="AI35" s="492"/>
      <c r="AJ35" s="492"/>
      <c r="AK35" s="492"/>
      <c r="AL35" s="493"/>
      <c r="AN35" s="3"/>
    </row>
    <row r="36" spans="2:40" ht="14.25" customHeight="1" x14ac:dyDescent="0.15">
      <c r="B36" s="473"/>
      <c r="C36" s="453"/>
      <c r="D36" s="68"/>
      <c r="E36" s="467" t="s">
        <v>2</v>
      </c>
      <c r="F36" s="467"/>
      <c r="G36" s="467"/>
      <c r="H36" s="467"/>
      <c r="I36" s="467"/>
      <c r="J36" s="467"/>
      <c r="K36" s="467"/>
      <c r="L36" s="481"/>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473"/>
      <c r="C37" s="453"/>
      <c r="D37" s="68"/>
      <c r="E37" s="467" t="s">
        <v>3</v>
      </c>
      <c r="F37" s="468"/>
      <c r="G37" s="468"/>
      <c r="H37" s="468"/>
      <c r="I37" s="468"/>
      <c r="J37" s="468"/>
      <c r="K37" s="468"/>
      <c r="L37" s="469"/>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473"/>
      <c r="C38" s="453"/>
      <c r="D38" s="68"/>
      <c r="E38" s="467" t="s">
        <v>4</v>
      </c>
      <c r="F38" s="468"/>
      <c r="G38" s="468"/>
      <c r="H38" s="468"/>
      <c r="I38" s="468"/>
      <c r="J38" s="468"/>
      <c r="K38" s="468"/>
      <c r="L38" s="469"/>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473"/>
      <c r="C39" s="453"/>
      <c r="D39" s="68"/>
      <c r="E39" s="467" t="s">
        <v>6</v>
      </c>
      <c r="F39" s="468"/>
      <c r="G39" s="468"/>
      <c r="H39" s="468"/>
      <c r="I39" s="468"/>
      <c r="J39" s="468"/>
      <c r="K39" s="468"/>
      <c r="L39" s="469"/>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473"/>
      <c r="C40" s="453"/>
      <c r="D40" s="68"/>
      <c r="E40" s="467" t="s">
        <v>5</v>
      </c>
      <c r="F40" s="468"/>
      <c r="G40" s="468"/>
      <c r="H40" s="468"/>
      <c r="I40" s="468"/>
      <c r="J40" s="468"/>
      <c r="K40" s="468"/>
      <c r="L40" s="469"/>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473"/>
      <c r="C41" s="453"/>
      <c r="D41" s="69"/>
      <c r="E41" s="494" t="s">
        <v>45</v>
      </c>
      <c r="F41" s="495"/>
      <c r="G41" s="495"/>
      <c r="H41" s="495"/>
      <c r="I41" s="495"/>
      <c r="J41" s="495"/>
      <c r="K41" s="495"/>
      <c r="L41" s="496"/>
      <c r="M41" s="70"/>
      <c r="N41" s="35"/>
      <c r="O41" s="79"/>
      <c r="P41" s="34"/>
      <c r="Q41" s="35"/>
      <c r="R41" s="4" t="s">
        <v>58</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473"/>
      <c r="C42" s="453"/>
      <c r="D42" s="71"/>
      <c r="E42" s="479" t="s">
        <v>64</v>
      </c>
      <c r="F42" s="479"/>
      <c r="G42" s="479"/>
      <c r="H42" s="479"/>
      <c r="I42" s="479"/>
      <c r="J42" s="479"/>
      <c r="K42" s="479"/>
      <c r="L42" s="480"/>
      <c r="M42" s="72"/>
      <c r="N42" s="74"/>
      <c r="O42" s="81"/>
      <c r="P42" s="73"/>
      <c r="Q42" s="74"/>
      <c r="R42" s="82" t="s">
        <v>58</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473"/>
      <c r="C43" s="453"/>
      <c r="D43" s="68"/>
      <c r="E43" s="467" t="s">
        <v>65</v>
      </c>
      <c r="F43" s="468"/>
      <c r="G43" s="468"/>
      <c r="H43" s="468"/>
      <c r="I43" s="468"/>
      <c r="J43" s="468"/>
      <c r="K43" s="468"/>
      <c r="L43" s="469"/>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473"/>
      <c r="C44" s="453"/>
      <c r="D44" s="68"/>
      <c r="E44" s="467" t="s">
        <v>66</v>
      </c>
      <c r="F44" s="468"/>
      <c r="G44" s="468"/>
      <c r="H44" s="468"/>
      <c r="I44" s="468"/>
      <c r="J44" s="468"/>
      <c r="K44" s="468"/>
      <c r="L44" s="469"/>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473"/>
      <c r="C45" s="453"/>
      <c r="D45" s="68"/>
      <c r="E45" s="467" t="s">
        <v>67</v>
      </c>
      <c r="F45" s="468"/>
      <c r="G45" s="468"/>
      <c r="H45" s="468"/>
      <c r="I45" s="468"/>
      <c r="J45" s="468"/>
      <c r="K45" s="468"/>
      <c r="L45" s="469"/>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473"/>
      <c r="C46" s="453"/>
      <c r="D46" s="68"/>
      <c r="E46" s="467" t="s">
        <v>68</v>
      </c>
      <c r="F46" s="468"/>
      <c r="G46" s="468"/>
      <c r="H46" s="468"/>
      <c r="I46" s="468"/>
      <c r="J46" s="468"/>
      <c r="K46" s="468"/>
      <c r="L46" s="469"/>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474"/>
      <c r="C47" s="453"/>
      <c r="D47" s="68"/>
      <c r="E47" s="467" t="s">
        <v>69</v>
      </c>
      <c r="F47" s="468"/>
      <c r="G47" s="468"/>
      <c r="H47" s="468"/>
      <c r="I47" s="468"/>
      <c r="J47" s="468"/>
      <c r="K47" s="468"/>
      <c r="L47" s="469"/>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470" t="s">
        <v>48</v>
      </c>
      <c r="C48" s="470"/>
      <c r="D48" s="470"/>
      <c r="E48" s="470"/>
      <c r="F48" s="470"/>
      <c r="G48" s="470"/>
      <c r="H48" s="470"/>
      <c r="I48" s="470"/>
      <c r="J48" s="470"/>
      <c r="K48" s="47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70" t="s">
        <v>49</v>
      </c>
      <c r="C49" s="470"/>
      <c r="D49" s="470"/>
      <c r="E49" s="470"/>
      <c r="F49" s="470"/>
      <c r="G49" s="470"/>
      <c r="H49" s="470"/>
      <c r="I49" s="470"/>
      <c r="J49" s="470"/>
      <c r="K49" s="47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48" t="s">
        <v>21</v>
      </c>
      <c r="C50" s="448"/>
      <c r="D50" s="448"/>
      <c r="E50" s="448"/>
      <c r="F50" s="448"/>
      <c r="G50" s="448"/>
      <c r="H50" s="448"/>
      <c r="I50" s="448"/>
      <c r="J50" s="448"/>
      <c r="K50" s="448"/>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49" t="s">
        <v>50</v>
      </c>
      <c r="C51" s="449"/>
      <c r="D51" s="449"/>
      <c r="E51" s="449"/>
      <c r="F51" s="449"/>
      <c r="G51" s="449"/>
      <c r="H51" s="449"/>
      <c r="I51" s="449"/>
      <c r="J51" s="449"/>
      <c r="K51" s="4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0" t="s">
        <v>41</v>
      </c>
      <c r="C52" s="451"/>
      <c r="D52" s="451"/>
      <c r="E52" s="451"/>
      <c r="F52" s="451"/>
      <c r="G52" s="451"/>
      <c r="H52" s="451"/>
      <c r="I52" s="451"/>
      <c r="J52" s="451"/>
      <c r="K52" s="451"/>
      <c r="L52" s="451"/>
      <c r="M52" s="451"/>
      <c r="N52" s="4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2" t="s">
        <v>22</v>
      </c>
      <c r="C53" s="455" t="s">
        <v>80</v>
      </c>
      <c r="D53" s="456"/>
      <c r="E53" s="456"/>
      <c r="F53" s="456"/>
      <c r="G53" s="456"/>
      <c r="H53" s="456"/>
      <c r="I53" s="456"/>
      <c r="J53" s="456"/>
      <c r="K53" s="456"/>
      <c r="L53" s="456"/>
      <c r="M53" s="456"/>
      <c r="N53" s="456"/>
      <c r="O53" s="456"/>
      <c r="P53" s="456"/>
      <c r="Q53" s="456"/>
      <c r="R53" s="456"/>
      <c r="S53" s="456"/>
      <c r="T53" s="457"/>
      <c r="U53" s="455" t="s">
        <v>34</v>
      </c>
      <c r="V53" s="458"/>
      <c r="W53" s="458"/>
      <c r="X53" s="458"/>
      <c r="Y53" s="458"/>
      <c r="Z53" s="458"/>
      <c r="AA53" s="458"/>
      <c r="AB53" s="458"/>
      <c r="AC53" s="458"/>
      <c r="AD53" s="458"/>
      <c r="AE53" s="458"/>
      <c r="AF53" s="458"/>
      <c r="AG53" s="458"/>
      <c r="AH53" s="458"/>
      <c r="AI53" s="458"/>
      <c r="AJ53" s="458"/>
      <c r="AK53" s="458"/>
      <c r="AL53" s="459"/>
      <c r="AN53" s="3"/>
    </row>
    <row r="54" spans="2:40" x14ac:dyDescent="0.15">
      <c r="B54" s="453"/>
      <c r="C54" s="460"/>
      <c r="D54" s="461"/>
      <c r="E54" s="461"/>
      <c r="F54" s="461"/>
      <c r="G54" s="461"/>
      <c r="H54" s="461"/>
      <c r="I54" s="461"/>
      <c r="J54" s="461"/>
      <c r="K54" s="461"/>
      <c r="L54" s="461"/>
      <c r="M54" s="461"/>
      <c r="N54" s="461"/>
      <c r="O54" s="461"/>
      <c r="P54" s="461"/>
      <c r="Q54" s="461"/>
      <c r="R54" s="461"/>
      <c r="S54" s="461"/>
      <c r="T54" s="462"/>
      <c r="U54" s="460"/>
      <c r="V54" s="461"/>
      <c r="W54" s="461"/>
      <c r="X54" s="461"/>
      <c r="Y54" s="461"/>
      <c r="Z54" s="461"/>
      <c r="AA54" s="461"/>
      <c r="AB54" s="461"/>
      <c r="AC54" s="461"/>
      <c r="AD54" s="461"/>
      <c r="AE54" s="461"/>
      <c r="AF54" s="461"/>
      <c r="AG54" s="461"/>
      <c r="AH54" s="461"/>
      <c r="AI54" s="461"/>
      <c r="AJ54" s="461"/>
      <c r="AK54" s="461"/>
      <c r="AL54" s="462"/>
      <c r="AN54" s="3"/>
    </row>
    <row r="55" spans="2:40" x14ac:dyDescent="0.15">
      <c r="B55" s="453"/>
      <c r="C55" s="463"/>
      <c r="D55" s="464"/>
      <c r="E55" s="464"/>
      <c r="F55" s="464"/>
      <c r="G55" s="464"/>
      <c r="H55" s="464"/>
      <c r="I55" s="464"/>
      <c r="J55" s="464"/>
      <c r="K55" s="464"/>
      <c r="L55" s="464"/>
      <c r="M55" s="464"/>
      <c r="N55" s="464"/>
      <c r="O55" s="464"/>
      <c r="P55" s="464"/>
      <c r="Q55" s="464"/>
      <c r="R55" s="464"/>
      <c r="S55" s="464"/>
      <c r="T55" s="465"/>
      <c r="U55" s="463"/>
      <c r="V55" s="464"/>
      <c r="W55" s="464"/>
      <c r="X55" s="464"/>
      <c r="Y55" s="464"/>
      <c r="Z55" s="464"/>
      <c r="AA55" s="464"/>
      <c r="AB55" s="464"/>
      <c r="AC55" s="464"/>
      <c r="AD55" s="464"/>
      <c r="AE55" s="464"/>
      <c r="AF55" s="464"/>
      <c r="AG55" s="464"/>
      <c r="AH55" s="464"/>
      <c r="AI55" s="464"/>
      <c r="AJ55" s="464"/>
      <c r="AK55" s="464"/>
      <c r="AL55" s="465"/>
      <c r="AN55" s="3"/>
    </row>
    <row r="56" spans="2:40" x14ac:dyDescent="0.15">
      <c r="B56" s="453"/>
      <c r="C56" s="463"/>
      <c r="D56" s="464"/>
      <c r="E56" s="464"/>
      <c r="F56" s="464"/>
      <c r="G56" s="464"/>
      <c r="H56" s="464"/>
      <c r="I56" s="464"/>
      <c r="J56" s="464"/>
      <c r="K56" s="464"/>
      <c r="L56" s="464"/>
      <c r="M56" s="464"/>
      <c r="N56" s="464"/>
      <c r="O56" s="464"/>
      <c r="P56" s="464"/>
      <c r="Q56" s="464"/>
      <c r="R56" s="464"/>
      <c r="S56" s="464"/>
      <c r="T56" s="465"/>
      <c r="U56" s="463"/>
      <c r="V56" s="464"/>
      <c r="W56" s="464"/>
      <c r="X56" s="464"/>
      <c r="Y56" s="464"/>
      <c r="Z56" s="464"/>
      <c r="AA56" s="464"/>
      <c r="AB56" s="464"/>
      <c r="AC56" s="464"/>
      <c r="AD56" s="464"/>
      <c r="AE56" s="464"/>
      <c r="AF56" s="464"/>
      <c r="AG56" s="464"/>
      <c r="AH56" s="464"/>
      <c r="AI56" s="464"/>
      <c r="AJ56" s="464"/>
      <c r="AK56" s="464"/>
      <c r="AL56" s="465"/>
      <c r="AN56" s="3"/>
    </row>
    <row r="57" spans="2:40" x14ac:dyDescent="0.15">
      <c r="B57" s="454"/>
      <c r="C57" s="466"/>
      <c r="D57" s="458"/>
      <c r="E57" s="458"/>
      <c r="F57" s="458"/>
      <c r="G57" s="458"/>
      <c r="H57" s="458"/>
      <c r="I57" s="458"/>
      <c r="J57" s="458"/>
      <c r="K57" s="458"/>
      <c r="L57" s="458"/>
      <c r="M57" s="458"/>
      <c r="N57" s="458"/>
      <c r="O57" s="458"/>
      <c r="P57" s="458"/>
      <c r="Q57" s="458"/>
      <c r="R57" s="458"/>
      <c r="S57" s="458"/>
      <c r="T57" s="459"/>
      <c r="U57" s="466"/>
      <c r="V57" s="458"/>
      <c r="W57" s="458"/>
      <c r="X57" s="458"/>
      <c r="Y57" s="458"/>
      <c r="Z57" s="458"/>
      <c r="AA57" s="458"/>
      <c r="AB57" s="458"/>
      <c r="AC57" s="458"/>
      <c r="AD57" s="458"/>
      <c r="AE57" s="458"/>
      <c r="AF57" s="458"/>
      <c r="AG57" s="458"/>
      <c r="AH57" s="458"/>
      <c r="AI57" s="458"/>
      <c r="AJ57" s="458"/>
      <c r="AK57" s="458"/>
      <c r="AL57" s="459"/>
      <c r="AN57" s="3"/>
    </row>
    <row r="58" spans="2:40" ht="14.25" customHeight="1" x14ac:dyDescent="0.15">
      <c r="B58" s="445" t="s">
        <v>23</v>
      </c>
      <c r="C58" s="446"/>
      <c r="D58" s="446"/>
      <c r="E58" s="446"/>
      <c r="F58" s="447"/>
      <c r="G58" s="448" t="s">
        <v>24</v>
      </c>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N58" s="3"/>
    </row>
    <row r="60" spans="2:40" x14ac:dyDescent="0.15">
      <c r="B60" s="14" t="s">
        <v>53</v>
      </c>
    </row>
    <row r="61" spans="2:40" x14ac:dyDescent="0.15">
      <c r="B61" s="14" t="s">
        <v>100</v>
      </c>
    </row>
    <row r="62" spans="2:40" x14ac:dyDescent="0.15">
      <c r="B62" s="14" t="s">
        <v>101</v>
      </c>
    </row>
    <row r="63" spans="2:40" x14ac:dyDescent="0.15">
      <c r="B63" s="14" t="s">
        <v>104</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102</v>
      </c>
    </row>
    <row r="70" spans="2:41" x14ac:dyDescent="0.15">
      <c r="B70" s="14" t="s">
        <v>99</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ba954db6-8e98-4c99-b32f-7e23d9ecf8c6"/>
    <ds:schemaRef ds:uri="http://www.w3.org/XML/1998/namespace"/>
    <ds:schemaRef ds:uri="http://purl.org/dc/dcmityp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介護医療院</vt:lpstr>
      <vt:lpstr>訪リハ・通リハ・短期</vt:lpstr>
      <vt:lpstr>予防訪リハ・予防通リハ・予防短期</vt:lpstr>
      <vt:lpstr>別紙●24</vt:lpstr>
      <vt:lpstr>介護医療院!Print_Area</vt:lpstr>
      <vt:lpstr>訪リハ・通リハ・短期!Print_Area</vt:lpstr>
      <vt:lpstr>予防訪リハ・予防通リハ・予防短期!Print_Area</vt:lpstr>
      <vt:lpstr>介護医療院!Print_Titles</vt:lpstr>
      <vt:lpstr>訪リハ・通リハ・短期!Print_Titles</vt:lpstr>
      <vt:lpstr>予防訪リハ・予防通リハ・予防短期!Print_Titles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Administrator</cp:lastModifiedBy>
  <cp:lastPrinted>2025-06-18T08:57:13Z</cp:lastPrinted>
  <dcterms:created xsi:type="dcterms:W3CDTF">2023-01-16T02:34:32Z</dcterms:created>
  <dcterms:modified xsi:type="dcterms:W3CDTF">2025-07-01T09:55:37Z</dcterms:modified>
</cp:coreProperties>
</file>