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updateLinks="never" codeName="ThisWorkbook" defaultThemeVersion="124226"/>
  <mc:AlternateContent xmlns:mc="http://schemas.openxmlformats.org/markup-compatibility/2006">
    <mc:Choice Requires="x15">
      <x15ac:absPath xmlns:x15ac="http://schemas.microsoft.com/office/spreadsheetml/2010/11/ac" url="\\FS24sv01\健康福祉部\福祉指導監査課\05 指定居宅サービス等関係\17 報酬改定\R7_報酬改定\070405 体制表の確定版につきまして（再々修正版です）\HP掲載用\"/>
    </mc:Choice>
  </mc:AlternateContent>
  <xr:revisionPtr revIDLastSave="0" documentId="13_ncr:1_{1AA0B70E-A1AD-434A-8859-409AD79613F2}" xr6:coauthVersionLast="47" xr6:coauthVersionMax="47" xr10:uidLastSave="{00000000-0000-0000-0000-000000000000}"/>
  <bookViews>
    <workbookView xWindow="-120" yWindow="-120" windowWidth="20730" windowHeight="11160" tabRatio="935" xr2:uid="{31320AF1-06BD-4B8E-86DB-F1C07B4AA7D5}"/>
  </bookViews>
  <sheets>
    <sheet name="老健" sheetId="491" r:id="rId1"/>
    <sheet name="訪リハ・通リハ・短期" sheetId="499" r:id="rId2"/>
    <sheet name="予防訪リハ・予防通リハ・予防短期" sheetId="500" r:id="rId3"/>
    <sheet name="別紙●24" sheetId="66" state="hidden" r:id="rId4"/>
  </sheets>
  <externalReferences>
    <externalReference r:id="rId5"/>
    <externalReference r:id="rId6"/>
    <externalReference r:id="rId7"/>
    <externalReference r:id="rId8"/>
  </externalReferences>
  <definedNames>
    <definedName name="ｋ">#N/A</definedName>
    <definedName name="_xlnm.Print_Area" localSheetId="3">#N/A</definedName>
    <definedName name="_xlnm.Print_Area" localSheetId="1">訪リハ・通リハ・短期!$A$1:$AF$174</definedName>
    <definedName name="_xlnm.Print_Area" localSheetId="2">予防訪リハ・予防通リハ・予防短期!$A$1:$AF$134,予防訪リハ・予防通リハ・予防短期!$135:$153</definedName>
    <definedName name="_xlnm.Print_Area" localSheetId="0">老健!$A$1:$AF$192</definedName>
    <definedName name="_xlnm.Print_Titles" localSheetId="1">訪リハ・通リハ・短期!$1:$10</definedName>
    <definedName name="_xlnm.Print_Titles" localSheetId="2">予防訪リハ・予防通リハ・予防短期!$1:$10</definedName>
    <definedName name="_xlnm.Print_Titles" localSheetId="0">老健!$1:$10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19" i="500" l="1"/>
  <c r="AI18" i="500"/>
  <c r="AI16" i="500"/>
  <c r="AI14" i="500"/>
  <c r="AI13" i="500"/>
  <c r="AI12" i="500"/>
  <c r="AG12" i="500"/>
  <c r="AJ11" i="500"/>
  <c r="AI11" i="500"/>
  <c r="AG11" i="500"/>
  <c r="AI23" i="499"/>
  <c r="AI22" i="499"/>
  <c r="AI21" i="499"/>
  <c r="AI19" i="499"/>
  <c r="AI18" i="499"/>
  <c r="AI16" i="499"/>
  <c r="AI14" i="499"/>
  <c r="AI13" i="499"/>
  <c r="AI12" i="499"/>
  <c r="AG12" i="499"/>
  <c r="AJ11" i="499"/>
  <c r="AI11" i="499"/>
  <c r="AG11" i="499"/>
  <c r="AI152" i="500"/>
  <c r="AI150" i="500"/>
  <c r="AI149" i="500"/>
  <c r="AI148" i="500"/>
  <c r="AI147" i="500"/>
  <c r="AI146" i="500"/>
  <c r="AI145" i="500"/>
  <c r="AI144" i="500"/>
  <c r="AI143" i="500"/>
  <c r="AI142" i="500"/>
  <c r="AI141" i="500"/>
  <c r="AI140" i="500"/>
  <c r="AI139" i="500"/>
  <c r="AI138" i="500"/>
  <c r="AI136" i="500"/>
  <c r="AG136" i="500"/>
  <c r="AJ135" i="500"/>
  <c r="AI135" i="500"/>
  <c r="AG135" i="500"/>
  <c r="AI134" i="500"/>
  <c r="AI132" i="500"/>
  <c r="AI131" i="500"/>
  <c r="AI130" i="500"/>
  <c r="AI129" i="500"/>
  <c r="AI128" i="500"/>
  <c r="AI127" i="500"/>
  <c r="AI126" i="500"/>
  <c r="AI125" i="500"/>
  <c r="AI124" i="500"/>
  <c r="AI123" i="500"/>
  <c r="AI122" i="500"/>
  <c r="AI121" i="500"/>
  <c r="AI120" i="500"/>
  <c r="AI119" i="500"/>
  <c r="AI117" i="500"/>
  <c r="AG117" i="500"/>
  <c r="AJ116" i="500"/>
  <c r="AI116" i="500"/>
  <c r="AG116" i="500"/>
  <c r="AI115" i="500"/>
  <c r="AI113" i="500"/>
  <c r="AI112" i="500"/>
  <c r="AI111" i="500"/>
  <c r="AI110" i="500"/>
  <c r="AI109" i="500"/>
  <c r="AI108" i="500"/>
  <c r="AI107" i="500"/>
  <c r="AI106" i="500"/>
  <c r="AI105" i="500"/>
  <c r="AI104" i="500"/>
  <c r="AI103" i="500"/>
  <c r="AI102" i="500"/>
  <c r="AI101" i="500"/>
  <c r="AI100" i="500"/>
  <c r="AI99" i="500"/>
  <c r="AI98" i="500"/>
  <c r="AI97" i="500"/>
  <c r="AI95" i="500"/>
  <c r="AG95" i="500"/>
  <c r="AJ94" i="500"/>
  <c r="AI94" i="500"/>
  <c r="AG94" i="500"/>
  <c r="AI93" i="500"/>
  <c r="AI91" i="500"/>
  <c r="AI90" i="500"/>
  <c r="AI89" i="500"/>
  <c r="AI88" i="500"/>
  <c r="AI87" i="500"/>
  <c r="AI86" i="500"/>
  <c r="AI85" i="500"/>
  <c r="AI84" i="500"/>
  <c r="AI83" i="500"/>
  <c r="AI82" i="500"/>
  <c r="AI81" i="500"/>
  <c r="AI80" i="500"/>
  <c r="AI79" i="500"/>
  <c r="AI78" i="500"/>
  <c r="AI77" i="500"/>
  <c r="AI76" i="500"/>
  <c r="AI75" i="500"/>
  <c r="AI74" i="500"/>
  <c r="AI72" i="500"/>
  <c r="AG72" i="500"/>
  <c r="AJ71" i="500"/>
  <c r="AI71" i="500"/>
  <c r="AG71" i="500"/>
  <c r="AI70" i="500"/>
  <c r="AI68" i="500"/>
  <c r="AI67" i="500"/>
  <c r="AI66" i="500"/>
  <c r="AI65" i="500"/>
  <c r="AI64" i="500"/>
  <c r="AI63" i="500"/>
  <c r="AI62" i="500"/>
  <c r="AI61" i="500"/>
  <c r="AI60" i="500"/>
  <c r="AI59" i="500"/>
  <c r="AI58" i="500"/>
  <c r="AI57" i="500"/>
  <c r="AI56" i="500"/>
  <c r="AI55" i="500"/>
  <c r="AI53" i="500"/>
  <c r="AG53" i="500"/>
  <c r="AJ52" i="500"/>
  <c r="AI52" i="500"/>
  <c r="AH52" i="500"/>
  <c r="AG52" i="500"/>
  <c r="AI51" i="500"/>
  <c r="AI49" i="500"/>
  <c r="AI48" i="500"/>
  <c r="AI47" i="500"/>
  <c r="AI46" i="500"/>
  <c r="AI45" i="500"/>
  <c r="AI44" i="500"/>
  <c r="AI43" i="500"/>
  <c r="AI42" i="500"/>
  <c r="AI41" i="500"/>
  <c r="AI40" i="500"/>
  <c r="AI39" i="500"/>
  <c r="AI38" i="500"/>
  <c r="AI37" i="500"/>
  <c r="AI36" i="500"/>
  <c r="AI35" i="500"/>
  <c r="AI33" i="500"/>
  <c r="AG33" i="500"/>
  <c r="AJ32" i="500"/>
  <c r="AI32" i="500"/>
  <c r="AH32" i="500"/>
  <c r="AG32" i="500"/>
  <c r="AI31" i="500"/>
  <c r="AI30" i="500"/>
  <c r="AI29" i="500"/>
  <c r="AI28" i="500"/>
  <c r="AI27" i="500"/>
  <c r="AI26" i="500"/>
  <c r="AI25" i="500"/>
  <c r="AI24" i="500"/>
  <c r="AI23" i="500"/>
  <c r="AI22" i="500"/>
  <c r="AG21" i="500"/>
  <c r="AJ20" i="500"/>
  <c r="AI20" i="500"/>
  <c r="AG20" i="500"/>
  <c r="AG9" i="500"/>
  <c r="AI173" i="499"/>
  <c r="AI171" i="499"/>
  <c r="AI170" i="499"/>
  <c r="AI169" i="499"/>
  <c r="AI168" i="499"/>
  <c r="AI167" i="499"/>
  <c r="AI166" i="499"/>
  <c r="AI165" i="499"/>
  <c r="AI164" i="499"/>
  <c r="AI163" i="499"/>
  <c r="AI162" i="499"/>
  <c r="AI161" i="499"/>
  <c r="AI160" i="499"/>
  <c r="AI159" i="499"/>
  <c r="AI158" i="499"/>
  <c r="AI156" i="499"/>
  <c r="AG156" i="499"/>
  <c r="AJ155" i="499"/>
  <c r="AI155" i="499"/>
  <c r="AG155" i="499"/>
  <c r="AI154" i="499"/>
  <c r="AI152" i="499"/>
  <c r="AI151" i="499"/>
  <c r="AI150" i="499"/>
  <c r="AI149" i="499"/>
  <c r="AI148" i="499"/>
  <c r="AI147" i="499"/>
  <c r="AI146" i="499"/>
  <c r="AI145" i="499"/>
  <c r="AI144" i="499"/>
  <c r="AI143" i="499"/>
  <c r="AI142" i="499"/>
  <c r="AI141" i="499"/>
  <c r="AI140" i="499"/>
  <c r="AI139" i="499"/>
  <c r="AI138" i="499"/>
  <c r="AI136" i="499"/>
  <c r="AG136" i="499"/>
  <c r="AJ135" i="499"/>
  <c r="AI135" i="499"/>
  <c r="AG135" i="499"/>
  <c r="AI134" i="499"/>
  <c r="AI132" i="499"/>
  <c r="AI131" i="499"/>
  <c r="AI130" i="499"/>
  <c r="AI129" i="499"/>
  <c r="AI128" i="499"/>
  <c r="AI127" i="499"/>
  <c r="AI126" i="499"/>
  <c r="AI125" i="499"/>
  <c r="AI124" i="499"/>
  <c r="AI123" i="499"/>
  <c r="AI122" i="499"/>
  <c r="AI121" i="499"/>
  <c r="AI120" i="499"/>
  <c r="AI119" i="499"/>
  <c r="AI118" i="499"/>
  <c r="AI117" i="499"/>
  <c r="AI116" i="499"/>
  <c r="AI115" i="499"/>
  <c r="AI113" i="499"/>
  <c r="AG113" i="499"/>
  <c r="AJ112" i="499"/>
  <c r="AI112" i="499"/>
  <c r="AG112" i="499"/>
  <c r="AI111" i="499"/>
  <c r="AI109" i="499"/>
  <c r="AI108" i="499"/>
  <c r="AI107" i="499"/>
  <c r="AI106" i="499"/>
  <c r="AI105" i="499"/>
  <c r="AI104" i="499"/>
  <c r="AI103" i="499"/>
  <c r="AI102" i="499"/>
  <c r="AI101" i="499"/>
  <c r="AI100" i="499"/>
  <c r="AI99" i="499"/>
  <c r="AI98" i="499"/>
  <c r="AI97" i="499"/>
  <c r="AI96" i="499"/>
  <c r="AI95" i="499"/>
  <c r="AI94" i="499"/>
  <c r="AI93" i="499"/>
  <c r="AI92" i="499"/>
  <c r="AI91" i="499"/>
  <c r="AI89" i="499"/>
  <c r="AG89" i="499"/>
  <c r="AJ88" i="499"/>
  <c r="AI88" i="499"/>
  <c r="AG88" i="499"/>
  <c r="AI87" i="499"/>
  <c r="AI85" i="499"/>
  <c r="AI84" i="499"/>
  <c r="AI83" i="499"/>
  <c r="AI82" i="499"/>
  <c r="AI81" i="499"/>
  <c r="AI80" i="499"/>
  <c r="AI79" i="499"/>
  <c r="AI78" i="499"/>
  <c r="AI77" i="499"/>
  <c r="AI76" i="499"/>
  <c r="AI75" i="499"/>
  <c r="AI74" i="499"/>
  <c r="AI73" i="499"/>
  <c r="AI72" i="499"/>
  <c r="AI71" i="499"/>
  <c r="AI69" i="499"/>
  <c r="AG69" i="499"/>
  <c r="AJ68" i="499"/>
  <c r="AI68" i="499"/>
  <c r="AH68" i="499"/>
  <c r="AG68" i="499"/>
  <c r="AI67" i="499"/>
  <c r="AI65" i="499"/>
  <c r="AI64" i="499"/>
  <c r="AI63" i="499"/>
  <c r="AI62" i="499"/>
  <c r="AI61" i="499"/>
  <c r="AI60" i="499"/>
  <c r="AI59" i="499"/>
  <c r="AI58" i="499"/>
  <c r="AI57" i="499"/>
  <c r="AI56" i="499"/>
  <c r="AI55" i="499"/>
  <c r="AI54" i="499"/>
  <c r="AI53" i="499"/>
  <c r="AI52" i="499"/>
  <c r="AI51" i="499"/>
  <c r="AI50" i="499"/>
  <c r="AI48" i="499"/>
  <c r="AG48" i="499"/>
  <c r="AJ47" i="499"/>
  <c r="AI47" i="499"/>
  <c r="AH47" i="499"/>
  <c r="AG47" i="499"/>
  <c r="AI46" i="499"/>
  <c r="AI45" i="499"/>
  <c r="AI44" i="499"/>
  <c r="AI43" i="499"/>
  <c r="AI42" i="499"/>
  <c r="AI41" i="499"/>
  <c r="AI40" i="499"/>
  <c r="AI39" i="499"/>
  <c r="AI38" i="499"/>
  <c r="AI37" i="499"/>
  <c r="AI35" i="499"/>
  <c r="AI34" i="499"/>
  <c r="AI33" i="499"/>
  <c r="AI32" i="499"/>
  <c r="AI31" i="499"/>
  <c r="AI28" i="499"/>
  <c r="AI27" i="499"/>
  <c r="AI26" i="499"/>
  <c r="AG25" i="499"/>
  <c r="AJ24" i="499"/>
  <c r="AI24" i="499"/>
  <c r="AG24" i="499"/>
  <c r="AG9" i="499"/>
  <c r="AI185" i="491" l="1"/>
  <c r="AI161" i="491"/>
  <c r="AI129" i="491"/>
  <c r="AI95" i="491"/>
  <c r="AI61" i="491"/>
  <c r="AI30" i="491"/>
  <c r="AG169" i="491"/>
  <c r="AG144" i="491"/>
  <c r="AG143" i="491"/>
  <c r="AI154" i="491"/>
  <c r="AI191" i="491"/>
  <c r="AI190" i="491"/>
  <c r="AI189" i="491"/>
  <c r="AI188" i="491"/>
  <c r="AI187" i="491"/>
  <c r="AI186" i="491"/>
  <c r="AI184" i="491"/>
  <c r="AI183" i="491"/>
  <c r="AI182" i="491"/>
  <c r="AI181" i="491"/>
  <c r="AI180" i="491"/>
  <c r="AI179" i="491"/>
  <c r="AI177" i="491"/>
  <c r="AI176" i="491"/>
  <c r="AI175" i="491"/>
  <c r="AI174" i="491"/>
  <c r="AI173" i="491"/>
  <c r="AI172" i="491"/>
  <c r="AI169" i="491"/>
  <c r="AJ168" i="491"/>
  <c r="AI168" i="491"/>
  <c r="AG168" i="491"/>
  <c r="AG110" i="491"/>
  <c r="AG109" i="491"/>
  <c r="AG75" i="491"/>
  <c r="AG74" i="491"/>
  <c r="AI84" i="491"/>
  <c r="AI142" i="491"/>
  <c r="AI141" i="491"/>
  <c r="AI140" i="491"/>
  <c r="AI139" i="491"/>
  <c r="AI138" i="491"/>
  <c r="AI137" i="491"/>
  <c r="AI136" i="491"/>
  <c r="AI135" i="491"/>
  <c r="AI134" i="491"/>
  <c r="AI133" i="491"/>
  <c r="AI131" i="491"/>
  <c r="AI130" i="491"/>
  <c r="AI128" i="491"/>
  <c r="AI127" i="491"/>
  <c r="AI126" i="491"/>
  <c r="AI125" i="491"/>
  <c r="AI124" i="491"/>
  <c r="AI123" i="491"/>
  <c r="AI122" i="491"/>
  <c r="AI121" i="491"/>
  <c r="AI120" i="491"/>
  <c r="AI119" i="491"/>
  <c r="AI118" i="491"/>
  <c r="AI117" i="491"/>
  <c r="AI116" i="491"/>
  <c r="AI115" i="491"/>
  <c r="AI114" i="491"/>
  <c r="AI113" i="491"/>
  <c r="AI110" i="491"/>
  <c r="AJ109" i="491"/>
  <c r="AI109" i="491"/>
  <c r="AH43" i="491"/>
  <c r="AG44" i="491"/>
  <c r="AG43" i="491"/>
  <c r="AG12" i="491"/>
  <c r="AI73" i="491"/>
  <c r="AI72" i="491"/>
  <c r="AI71" i="491"/>
  <c r="AI70" i="491"/>
  <c r="AI69" i="491"/>
  <c r="AI68" i="491"/>
  <c r="AI67" i="491"/>
  <c r="AI66" i="491"/>
  <c r="AI65" i="491"/>
  <c r="AI64" i="491"/>
  <c r="AI63" i="491"/>
  <c r="AI62" i="491"/>
  <c r="AI60" i="491"/>
  <c r="AI59" i="491"/>
  <c r="AI58" i="491"/>
  <c r="AI57" i="491"/>
  <c r="AI56" i="491"/>
  <c r="AI55" i="491"/>
  <c r="AI54" i="491"/>
  <c r="AI53" i="491"/>
  <c r="AI52" i="491"/>
  <c r="AI51" i="491"/>
  <c r="AI50" i="491"/>
  <c r="AI49" i="491"/>
  <c r="AI48" i="491"/>
  <c r="AI47" i="491"/>
  <c r="AI44" i="491"/>
  <c r="AJ43" i="491"/>
  <c r="AI43" i="491"/>
  <c r="AI21" i="491"/>
  <c r="AI167" i="491"/>
  <c r="AI166" i="491"/>
  <c r="AI165" i="491"/>
  <c r="AI164" i="491"/>
  <c r="AI163" i="491"/>
  <c r="AI162" i="491"/>
  <c r="AI160" i="491"/>
  <c r="AI159" i="491"/>
  <c r="AI158" i="491"/>
  <c r="AI157" i="491"/>
  <c r="AI156" i="491"/>
  <c r="AI155" i="491"/>
  <c r="AI152" i="491"/>
  <c r="AI151" i="491"/>
  <c r="AI150" i="491"/>
  <c r="AI149" i="491"/>
  <c r="AI148" i="491"/>
  <c r="AI147" i="491"/>
  <c r="AI144" i="491"/>
  <c r="AJ143" i="491"/>
  <c r="AI143" i="491"/>
  <c r="AI108" i="491"/>
  <c r="AI107" i="491"/>
  <c r="AI106" i="491"/>
  <c r="AI105" i="491"/>
  <c r="AI104" i="491"/>
  <c r="AI103" i="491"/>
  <c r="AI102" i="491"/>
  <c r="AI101" i="491"/>
  <c r="AI100" i="491"/>
  <c r="AI99" i="491"/>
  <c r="AI97" i="491"/>
  <c r="AI96" i="491"/>
  <c r="AI94" i="491"/>
  <c r="AI93" i="491"/>
  <c r="AI92" i="491"/>
  <c r="AI91" i="491"/>
  <c r="AI90" i="491"/>
  <c r="AI89" i="491"/>
  <c r="AI88" i="491"/>
  <c r="AI87" i="491"/>
  <c r="AI86" i="491"/>
  <c r="AI85" i="491"/>
  <c r="AI83" i="491"/>
  <c r="AI82" i="491"/>
  <c r="AI81" i="491"/>
  <c r="AI80" i="491"/>
  <c r="AI79" i="491"/>
  <c r="AI78" i="491"/>
  <c r="AI75" i="491"/>
  <c r="AJ74" i="491"/>
  <c r="AI74" i="491"/>
  <c r="AI42" i="491"/>
  <c r="AI41" i="491"/>
  <c r="AI40" i="491"/>
  <c r="AI39" i="491"/>
  <c r="AI38" i="491"/>
  <c r="AI37" i="491"/>
  <c r="AI36" i="491"/>
  <c r="AI35" i="491"/>
  <c r="AI34" i="491"/>
  <c r="AI33" i="491"/>
  <c r="AI32" i="491"/>
  <c r="AI31" i="491"/>
  <c r="AI29" i="491"/>
  <c r="AI28" i="491"/>
  <c r="AI27" i="491"/>
  <c r="AI26" i="491"/>
  <c r="AI25" i="491"/>
  <c r="AI24" i="491"/>
  <c r="AI23" i="491"/>
  <c r="AI22" i="491"/>
  <c r="AI20" i="491"/>
  <c r="AI19" i="491"/>
  <c r="AI18" i="491"/>
  <c r="AI17" i="491"/>
  <c r="AI16" i="491"/>
  <c r="AI15" i="491"/>
  <c r="AI12" i="491"/>
  <c r="AJ11" i="491"/>
  <c r="AI11" i="491"/>
  <c r="AH11" i="491"/>
  <c r="AG11" i="491"/>
  <c r="AG9" i="491"/>
</calcChain>
</file>

<file path=xl/sharedStrings.xml><?xml version="1.0" encoding="utf-8"?>
<sst xmlns="http://schemas.openxmlformats.org/spreadsheetml/2006/main" count="3196" uniqueCount="273">
  <si>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</si>
  <si>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</si>
  <si>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</si>
  <si>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</si>
  <si>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</si>
  <si>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</si>
  <si>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</si>
  <si>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</si>
  <si>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</si>
  <si>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</si>
  <si>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</si>
  <si>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</si>
  <si>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</si>
  <si>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</si>
  <si>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</si>
  <si>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</si>
  <si>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</si>
  <si>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</si>
  <si>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</si>
  <si>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</si>
  <si>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</si>
  <si>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</si>
  <si>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</si>
  <si>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</si>
  <si>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</si>
  <si>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</si>
  <si>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</si>
  <si>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</si>
  <si>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</si>
  <si>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</si>
  <si>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</si>
  <si>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</si>
  <si>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</si>
  <si>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</si>
  <si>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</si>
  <si>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</si>
  <si>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</si>
  <si>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</si>
  <si>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</si>
  <si>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</si>
  <si>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</si>
  <si>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</si>
  <si>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</si>
  <si>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</si>
  <si>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</si>
  <si>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</si>
  <si>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</si>
  <si>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</si>
  <si>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</si>
  <si>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</si>
  <si>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</si>
  <si>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</si>
  <si>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</si>
  <si>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</si>
  <si>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</si>
  <si>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</si>
  <si>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</si>
  <si>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</si>
  <si>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</si>
  <si>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</si>
  <si>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</si>
  <si>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</si>
  <si>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</si>
  <si>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</si>
  <si>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</si>
  <si>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</si>
  <si>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</si>
  <si>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</si>
  <si>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</si>
  <si>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</si>
  <si>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</si>
  <si>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</si>
  <si>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</si>
  <si>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</si>
  <si>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</si>
  <si>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</si>
  <si>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</si>
  <si>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</si>
  <si>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</si>
  <si>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</si>
  <si>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</si>
  <si>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</si>
  <si>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</si>
  <si>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</si>
  <si>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</si>
  <si>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</si>
  <si>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</si>
  <si>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</si>
  <si>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ターミナルケア体制</t>
    <rPh sb="7" eb="9">
      <t>タイセイ</t>
    </rPh>
    <phoneticPr fontId="1"/>
  </si>
  <si>
    <t>職員の欠員による減算の状況</t>
  </si>
  <si>
    <t>送迎体制</t>
  </si>
  <si>
    <t>時間延長サービス体制</t>
    <rPh sb="0" eb="2">
      <t>ジカン</t>
    </rPh>
    <rPh sb="2" eb="4">
      <t>エンチョウ</t>
    </rPh>
    <rPh sb="8" eb="10">
      <t>タイセイ</t>
    </rPh>
    <phoneticPr fontId="1"/>
  </si>
  <si>
    <t>夜間勤務条件基準</t>
  </si>
  <si>
    <t>ユニットケア体制</t>
    <rPh sb="6" eb="8">
      <t>タイセイ</t>
    </rPh>
    <phoneticPr fontId="1"/>
  </si>
  <si>
    <t>認知症ケア加算</t>
    <rPh sb="0" eb="2">
      <t>ニンチ</t>
    </rPh>
    <rPh sb="2" eb="3">
      <t>ショウ</t>
    </rPh>
    <rPh sb="5" eb="7">
      <t>カサン</t>
    </rPh>
    <phoneticPr fontId="1"/>
  </si>
  <si>
    <t>ﾘﾊﾋﾞﾘﾃｰｼｮﾝ提供体制</t>
  </si>
  <si>
    <t>身体拘束廃止取組の有無</t>
  </si>
  <si>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</si>
  <si>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</si>
  <si>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</si>
  <si>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</si>
  <si>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</si>
  <si>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</si>
  <si>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</si>
  <si>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特別療養費加算項目</t>
    <rPh sb="0" eb="2">
      <t>トクベツ</t>
    </rPh>
    <rPh sb="2" eb="5">
      <t>リョウヨウヒ</t>
    </rPh>
    <rPh sb="5" eb="7">
      <t>カサン</t>
    </rPh>
    <rPh sb="7" eb="9">
      <t>コウモク</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</si>
  <si>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</si>
  <si>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</si>
  <si>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</si>
  <si>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</si>
  <si>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</si>
  <si>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</si>
  <si>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生活行為向上ﾘﾊﾋﾞﾘﾃｰｼｮﾝ実施加算</t>
    <rPh sb="0" eb="2">
      <t>セイカツ</t>
    </rPh>
    <rPh sb="2" eb="4">
      <t>コウイ</t>
    </rPh>
    <rPh sb="4" eb="6">
      <t>コウジョウ</t>
    </rPh>
    <rPh sb="16" eb="18">
      <t>ジッシ</t>
    </rPh>
    <rPh sb="19" eb="20">
      <t>カサン</t>
    </rPh>
    <phoneticPr fontId="1"/>
  </si>
  <si>
    <t>（別紙●）</t>
    <rPh sb="1" eb="3">
      <t>ベッシ</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</si>
  <si>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</si>
  <si>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若年性認知症入所者受入加算</t>
    <rPh sb="6" eb="9">
      <t>ニュウショシャ</t>
    </rPh>
    <rPh sb="9" eb="11">
      <t>ウケイレ</t>
    </rPh>
    <rPh sb="11" eb="13">
      <t>カサン</t>
    </rPh>
    <phoneticPr fontId="1"/>
  </si>
  <si>
    <t>ﾘﾊﾋﾞﾘﾃｰｼｮﾝマネジメント加算</t>
    <rPh sb="16" eb="18">
      <t>カサン</t>
    </rPh>
    <phoneticPr fontId="2"/>
  </si>
  <si>
    <t>ﾘﾊﾋﾞﾘﾃｰｼｮﾝ提供体制加算</t>
    <rPh sb="10" eb="12">
      <t>テイキョウ</t>
    </rPh>
    <rPh sb="12" eb="14">
      <t>タイセイ</t>
    </rPh>
    <rPh sb="14" eb="16">
      <t>カサン</t>
    </rPh>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</si>
  <si>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</si>
  <si>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</si>
  <si>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療養体制維持特別加算Ⅱ</t>
    <rPh sb="0" eb="10">
      <t>リョウヨウタイセイイジトクベツカサン</t>
    </rPh>
    <phoneticPr fontId="1"/>
  </si>
  <si>
    <t>そ　 　　の　 　　他　　 　該　　 　当　　 　す 　　　る 　　　体 　　　制 　　　等</t>
    <phoneticPr fontId="1"/>
  </si>
  <si>
    <t>職員の欠員による減算の状況</t>
    <phoneticPr fontId="1"/>
  </si>
  <si>
    <t>認知症専門ケア加算</t>
    <phoneticPr fontId="1"/>
  </si>
  <si>
    <t>中重度者ケア体制加算</t>
    <phoneticPr fontId="1"/>
  </si>
  <si>
    <t>褥瘡マネジメント加算</t>
    <phoneticPr fontId="1"/>
  </si>
  <si>
    <t>短期入所療養介護</t>
    <phoneticPr fontId="1"/>
  </si>
  <si>
    <t>介護保健施設サービス</t>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</si>
  <si>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</si>
  <si>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</si>
  <si>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</si>
  <si>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</si>
  <si>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</si>
  <si>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口腔機能向上加算</t>
    <rPh sb="6" eb="8">
      <t>カサン</t>
    </rPh>
    <phoneticPr fontId="1"/>
  </si>
  <si>
    <t>安全対策体制</t>
    <rPh sb="0" eb="2">
      <t>アンゼン</t>
    </rPh>
    <rPh sb="2" eb="4">
      <t>タイサク</t>
    </rPh>
    <rPh sb="4" eb="6">
      <t>タイセイ</t>
    </rPh>
    <phoneticPr fontId="1"/>
  </si>
  <si>
    <t>提供サービス</t>
    <phoneticPr fontId="1"/>
  </si>
  <si>
    <t>通所リハビリテーション</t>
    <phoneticPr fontId="1"/>
  </si>
  <si>
    <t>在宅復帰・在宅療養支援機能加算</t>
    <phoneticPr fontId="1"/>
  </si>
  <si>
    <t>感染症又は災害の発生を理由とする利用者数の減少が一定以上生じている場合の対応</t>
    <phoneticPr fontId="1"/>
  </si>
  <si>
    <t>自立支援促進加算</t>
    <rPh sb="0" eb="2">
      <t>ジリツ</t>
    </rPh>
    <rPh sb="2" eb="4">
      <t>シエン</t>
    </rPh>
    <rPh sb="4" eb="6">
      <t>ソクシン</t>
    </rPh>
    <rPh sb="6" eb="8">
      <t>カサン</t>
    </rPh>
    <phoneticPr fontId="1"/>
  </si>
  <si>
    <t>リハビリ計画書情報加算</t>
    <rPh sb="4" eb="6">
      <t>ケイカク</t>
    </rPh>
    <rPh sb="6" eb="7">
      <t>ショ</t>
    </rPh>
    <rPh sb="7" eb="9">
      <t>ジョウホウ</t>
    </rPh>
    <rPh sb="9" eb="11">
      <t>カサン</t>
    </rPh>
    <phoneticPr fontId="1"/>
  </si>
  <si>
    <t>LIFEへの登録</t>
    <rPh sb="6" eb="8">
      <t>トウロク</t>
    </rPh>
    <phoneticPr fontId="1"/>
  </si>
  <si>
    <t>移行支援加算</t>
    <rPh sb="0" eb="2">
      <t>イコウ</t>
    </rPh>
    <rPh sb="4" eb="6">
      <t>カサン</t>
    </rPh>
    <phoneticPr fontId="2"/>
  </si>
  <si>
    <t>入浴介助加算</t>
    <phoneticPr fontId="1"/>
  </si>
  <si>
    <t>栄養アセスメント・栄養改善体制</t>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</si>
  <si>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</si>
  <si>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</si>
  <si>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</si>
  <si>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</si>
  <si>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</si>
  <si>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</si>
  <si>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</si>
  <si>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</si>
  <si>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</si>
  <si>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</si>
  <si>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</si>
  <si>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</si>
  <si>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２　あり</t>
  </si>
  <si>
    <t>６ 加算Ⅰ</t>
    <phoneticPr fontId="1"/>
  </si>
  <si>
    <t>５ 加算Ⅱ</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</si>
  <si>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</si>
  <si>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</si>
  <si>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</si>
  <si>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</si>
  <si>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</si>
  <si>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加算Ⅱ</t>
    <phoneticPr fontId="1"/>
  </si>
  <si>
    <t>２　介護老人保健施設</t>
  </si>
  <si>
    <t>３　介護医療院</t>
  </si>
  <si>
    <t>７ 加算Ⅲ</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</si>
  <si>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</si>
  <si>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</si>
  <si>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</si>
  <si>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</si>
  <si>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</si>
  <si>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</si>
  <si>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</si>
  <si>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</si>
  <si>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Ａ　通常規模の事業所(介護医療院)</t>
  </si>
  <si>
    <t>７　通常規模の事業所(介護老人保健施設)</t>
  </si>
  <si>
    <t>４　通常規模の事業所(病院・診療所)</t>
  </si>
  <si>
    <t>１ 基準型</t>
    <rPh sb="2" eb="4">
      <t>キジュン</t>
    </rPh>
    <rPh sb="4" eb="5">
      <t>ガタ</t>
    </rPh>
    <phoneticPr fontId="1"/>
  </si>
  <si>
    <t>６ 減算型</t>
    <rPh sb="2" eb="4">
      <t>ゲンサン</t>
    </rPh>
    <rPh sb="4" eb="5">
      <t>ガタ</t>
    </rPh>
    <phoneticPr fontId="1"/>
  </si>
  <si>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</si>
  <si>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</si>
  <si>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</si>
  <si>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</si>
  <si>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</si>
  <si>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</si>
  <si>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</si>
  <si>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</si>
  <si>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</si>
  <si>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</si>
  <si>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</si>
  <si>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</si>
  <si>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</si>
  <si>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</si>
  <si>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</si>
  <si>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t>
  </si>
  <si>
    <t>１ 減算型</t>
    <phoneticPr fontId="1"/>
  </si>
  <si>
    <t>２ 基準型</t>
    <rPh sb="2" eb="4">
      <t>キジュン</t>
    </rPh>
    <rPh sb="4" eb="5">
      <t>ガタ</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</si>
  <si>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</si>
  <si>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</si>
  <si>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１　介護保健施設（Ⅰ）</t>
  </si>
  <si>
    <t>２　ユニット型介護保健施設（Ⅰ）</t>
  </si>
  <si>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</si>
  <si>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</si>
  <si>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</si>
  <si>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</si>
  <si>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５　介護保健施設（Ⅱ）</t>
  </si>
  <si>
    <t>６　ユニット型介護保健施設（Ⅱ）</t>
  </si>
  <si>
    <t>７　介護保健施設（Ⅲ）</t>
  </si>
  <si>
    <t>８　ユニット型介護保健施設（Ⅲ）</t>
  </si>
  <si>
    <t>介護保健施設サービス</t>
  </si>
  <si>
    <t>９　介護保健施設（Ⅳ）</t>
  </si>
  <si>
    <t>Ａ　ユニット型介護保健施設（Ⅳ）</t>
  </si>
  <si>
    <t>１　病院又は診療所</t>
  </si>
  <si>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</si>
  <si>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</si>
  <si>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</si>
  <si>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</si>
  <si>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</si>
  <si>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</si>
  <si>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</si>
  <si>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ﾘﾊﾋﾞﾘﾃｰｼｮﾝマネジメント加算に係る医師による説明</t>
    <phoneticPr fontId="1"/>
  </si>
  <si>
    <t>８ 加算ハ</t>
    <rPh sb="2" eb="4">
      <t>カサン</t>
    </rPh>
    <phoneticPr fontId="1"/>
  </si>
  <si>
    <t>生産性向上推進体制加算</t>
    <phoneticPr fontId="1"/>
  </si>
  <si>
    <t>認知症チームケア推進加算</t>
    <phoneticPr fontId="1"/>
  </si>
  <si>
    <t>業務継続計画策定の有無</t>
    <phoneticPr fontId="1"/>
  </si>
  <si>
    <t>高齢者施設等感染対策向上加算Ⅰ</t>
    <phoneticPr fontId="1"/>
  </si>
  <si>
    <t>高齢者施設等感染対策向上加算Ⅱ</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</si>
  <si>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</si>
  <si>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</si>
  <si>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</si>
  <si>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３ 加算イ</t>
    <phoneticPr fontId="1"/>
  </si>
  <si>
    <t>６ 加算ロ</t>
    <phoneticPr fontId="1"/>
  </si>
  <si>
    <t>介護職員等処遇改善加算</t>
    <phoneticPr fontId="2"/>
  </si>
  <si>
    <t>Ｄ　大規模の事業所(病院・診療所)</t>
    <phoneticPr fontId="1"/>
  </si>
  <si>
    <t>Ｅ　大規模の事業所(介護老人保健施設)</t>
    <phoneticPr fontId="1"/>
  </si>
  <si>
    <t>Ｆ　大規模の事業所(介護医療院)</t>
    <phoneticPr fontId="1"/>
  </si>
  <si>
    <t>併設本体施設における介護職員等処遇改善加算Ⅰの届出状況</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</si>
  <si>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</si>
  <si>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</si>
  <si>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リハビリテーション</t>
  </si>
  <si>
    <t>生活行為向上ﾘﾊﾋﾞﾘﾃｰｼｮﾝ実施加算</t>
    <rPh sb="0" eb="2">
      <t>セイカツ</t>
    </rPh>
    <rPh sb="2" eb="4">
      <t>コウイ</t>
    </rPh>
    <rPh sb="4" eb="6">
      <t>コウジョウ</t>
    </rPh>
    <rPh sb="16" eb="18">
      <t>ジッシ</t>
    </rPh>
    <rPh sb="18" eb="20">
      <t>カサン</t>
    </rPh>
    <phoneticPr fontId="1"/>
  </si>
  <si>
    <t>介護予防通所</t>
  </si>
  <si>
    <t>若年性認知症利用者受入加算</t>
    <rPh sb="0" eb="3">
      <t>ジャクネンセイ</t>
    </rPh>
    <rPh sb="3" eb="6">
      <t>ニンチショウ</t>
    </rPh>
    <rPh sb="6" eb="9">
      <t>リヨウシャ</t>
    </rPh>
    <rPh sb="9" eb="11">
      <t>ウケイレ</t>
    </rPh>
    <rPh sb="11" eb="13">
      <t>カサン</t>
    </rPh>
    <phoneticPr fontId="1"/>
  </si>
  <si>
    <t>一体的サービス提供加算</t>
    <rPh sb="0" eb="2">
      <t>イッタイ</t>
    </rPh>
    <rPh sb="9" eb="11">
      <t>カサン</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</si>
  <si>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</si>
  <si>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</si>
  <si>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</si>
  <si>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１ 非該当</t>
    <phoneticPr fontId="1"/>
  </si>
  <si>
    <t>２ 該当</t>
    <phoneticPr fontId="1"/>
  </si>
  <si>
    <t>室料相当額控除</t>
    <phoneticPr fontId="1"/>
  </si>
  <si>
    <t>月</t>
    <rPh sb="0" eb="1">
      <t>ガツ</t>
    </rPh>
    <phoneticPr fontId="1"/>
  </si>
  <si>
    <t>日</t>
    <rPh sb="0" eb="1">
      <t>ニチ</t>
    </rPh>
    <phoneticPr fontId="1"/>
  </si>
  <si>
    <t>（別紙１－１）</t>
    <rPh sb="1" eb="3">
      <t>ベッシ</t>
    </rPh>
    <phoneticPr fontId="1"/>
  </si>
  <si>
    <t>（別紙１－２）</t>
    <phoneticPr fontId="1"/>
  </si>
  <si>
    <t>１　介護老人保健施設（Ⅰ）</t>
    <phoneticPr fontId="1"/>
  </si>
  <si>
    <t>事業所名</t>
  </si>
  <si>
    <t>　２７</t>
    <phoneticPr fontId="1"/>
  </si>
  <si>
    <t>１　新規　　２　変更　　３　終了</t>
    <phoneticPr fontId="1"/>
  </si>
  <si>
    <t>異動年月日</t>
    <rPh sb="0" eb="2">
      <t>イドウ</t>
    </rPh>
    <rPh sb="2" eb="5">
      <t>ネンガッピ</t>
    </rPh>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</si>
  <si>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</si>
  <si>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</si>
  <si>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１　非該当</t>
    <phoneticPr fontId="1"/>
  </si>
  <si>
    <t>２　該当</t>
  </si>
  <si>
    <t>１　病院又は診療所</t>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</si>
  <si>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</si>
  <si>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訪問リハビリテーション</t>
  </si>
  <si>
    <t>３　介護医療院</t>
    <phoneticPr fontId="1"/>
  </si>
  <si>
    <t>サービス提供体制強化加算</t>
    <rPh sb="4" eb="6">
      <t>テイキョウ</t>
    </rPh>
    <rPh sb="6" eb="8">
      <t>タイセイ</t>
    </rPh>
    <rPh sb="8" eb="10">
      <t>キョウカ</t>
    </rPh>
    <rPh sb="10" eb="12">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</si>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</sst>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trike/>
      <sz val="11"/>
      <name val="HGSｺﾞｼｯｸM"/>
      <family val="3"/>
      <charset val="128"/>
    </font>
    <font>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游ゴシック Light"/>
      <family val="3"/>
      <charset val="128"/>
    </font>
    <font>
      <sz val="16"/>
      <name val="HGSｺﾞｼｯｸM"/>
      <family val="3"/>
      <charset val="128"/>
    </font>
    <font>
      <sz val="11"/>
      <name val="ＭＳ 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dashed">
        <color indexed="64"/>
      </right>
      <top style="thin">
        <color indexed="64"/>
      </top>
      <bottom style="thin">
        <color indexed="64"/>
      </bottom>
      <diagonal/>
    </border>
    <border>
      <left style="thin">
        <color indexed="64"/>
      </left>
      <right style="dashed">
        <color indexed="64"/>
      </right>
      <top style="dashed">
        <color indexed="64"/>
      </top>
      <bottom style="dashed">
        <color indexed="64"/>
      </bottom>
      <diagonal/>
    </border>
    <border>
      <left style="dashed">
        <color indexed="64"/>
      </left>
      <right/>
      <top/>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69"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6" fillId="3" borderId="70" applyNumberFormat="0" applyFont="0" applyAlignment="0" applyProtection="0">
      <alignment vertical="center"/>
    </xf>
    <xf numFmtId="0" fontId="15" fillId="0" borderId="71" applyNumberFormat="0" applyFill="0" applyAlignment="0" applyProtection="0">
      <alignment vertical="center"/>
    </xf>
    <xf numFmtId="0" fontId="16" fillId="30" borderId="0" applyNumberFormat="0" applyBorder="0" applyAlignment="0" applyProtection="0">
      <alignment vertical="center"/>
    </xf>
    <xf numFmtId="0" fontId="17" fillId="31" borderId="72"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73" applyNumberFormat="0" applyFill="0" applyAlignment="0" applyProtection="0">
      <alignment vertical="center"/>
    </xf>
    <xf numFmtId="0" fontId="20" fillId="0" borderId="74" applyNumberFormat="0" applyFill="0" applyAlignment="0" applyProtection="0">
      <alignment vertical="center"/>
    </xf>
    <xf numFmtId="0" fontId="21" fillId="0" borderId="75" applyNumberFormat="0" applyFill="0" applyAlignment="0" applyProtection="0">
      <alignment vertical="center"/>
    </xf>
    <xf numFmtId="0" fontId="21" fillId="0" borderId="0" applyNumberFormat="0" applyFill="0" applyBorder="0" applyAlignment="0" applyProtection="0">
      <alignment vertical="center"/>
    </xf>
    <xf numFmtId="0" fontId="22" fillId="0" borderId="76" applyNumberFormat="0" applyFill="0" applyAlignment="0" applyProtection="0">
      <alignment vertical="center"/>
    </xf>
    <xf numFmtId="0" fontId="23" fillId="31" borderId="77" applyNumberFormat="0" applyAlignment="0" applyProtection="0">
      <alignment vertical="center"/>
    </xf>
    <xf numFmtId="0" fontId="24" fillId="0" borderId="0" applyNumberFormat="0" applyFill="0" applyBorder="0" applyAlignment="0" applyProtection="0">
      <alignment vertical="center"/>
    </xf>
    <xf numFmtId="0" fontId="25" fillId="2" borderId="72" applyNumberFormat="0" applyAlignment="0" applyProtection="0">
      <alignment vertical="center"/>
    </xf>
    <xf numFmtId="0" fontId="6" fillId="0" borderId="0"/>
    <xf numFmtId="0" fontId="6"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51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43" xfId="0" applyFont="1" applyFill="1" applyBorder="1" applyAlignment="1">
      <alignment horizontal="left" vertical="center" wrapText="1"/>
    </xf>
    <xf numFmtId="0" fontId="3" fillId="0" borderId="13" xfId="0" applyFont="1" applyFill="1" applyBorder="1" applyAlignment="1">
      <alignment vertical="center"/>
    </xf>
    <xf numFmtId="0" fontId="7" fillId="0" borderId="13" xfId="0" applyFont="1" applyFill="1" applyBorder="1" applyAlignment="1">
      <alignment vertical="center"/>
    </xf>
    <xf numFmtId="0" fontId="27" fillId="0" borderId="13" xfId="0" applyFont="1" applyFill="1" applyBorder="1" applyAlignment="1">
      <alignment vertical="center"/>
    </xf>
    <xf numFmtId="0" fontId="3" fillId="0" borderId="5"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vertical="center"/>
    </xf>
    <xf numFmtId="0" fontId="3" fillId="0" borderId="0" xfId="0" applyFont="1" applyFill="1" applyAlignment="1">
      <alignment vertical="top"/>
    </xf>
    <xf numFmtId="0" fontId="3" fillId="0" borderId="46" xfId="0" applyFont="1" applyFill="1" applyBorder="1" applyAlignment="1">
      <alignment vertical="top"/>
    </xf>
    <xf numFmtId="0" fontId="3" fillId="0" borderId="17" xfId="0" applyFont="1" applyFill="1" applyBorder="1" applyAlignment="1">
      <alignment vertical="center"/>
    </xf>
    <xf numFmtId="0" fontId="3" fillId="0" borderId="46" xfId="0" applyFont="1" applyFill="1" applyBorder="1" applyAlignment="1">
      <alignment horizontal="center" vertical="center"/>
    </xf>
    <xf numFmtId="0" fontId="3" fillId="0" borderId="48" xfId="0" applyFont="1" applyFill="1" applyBorder="1" applyAlignment="1">
      <alignment vertical="center"/>
    </xf>
    <xf numFmtId="0" fontId="3" fillId="0" borderId="17" xfId="0" applyFont="1" applyFill="1" applyBorder="1" applyAlignment="1">
      <alignment horizontal="left" vertical="center"/>
    </xf>
    <xf numFmtId="0" fontId="3" fillId="0" borderId="46"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46" xfId="0" applyFont="1" applyFill="1" applyBorder="1" applyAlignment="1">
      <alignment vertical="center"/>
    </xf>
    <xf numFmtId="0" fontId="3" fillId="0" borderId="33" xfId="0" applyFont="1" applyFill="1" applyBorder="1" applyAlignment="1">
      <alignment vertical="center"/>
    </xf>
    <xf numFmtId="0" fontId="3" fillId="0" borderId="41" xfId="0" applyFont="1" applyFill="1" applyBorder="1" applyAlignment="1">
      <alignment vertical="center"/>
    </xf>
    <xf numFmtId="0" fontId="3" fillId="0" borderId="41" xfId="0" applyFont="1" applyFill="1" applyBorder="1" applyAlignment="1">
      <alignment horizontal="left" vertical="center" wrapText="1"/>
    </xf>
    <xf numFmtId="0" fontId="28" fillId="0" borderId="0" xfId="0" applyFont="1" applyFill="1" applyAlignment="1">
      <alignment vertical="center"/>
    </xf>
    <xf numFmtId="0" fontId="28" fillId="0" borderId="0" xfId="0" applyFont="1" applyFill="1" applyAlignment="1">
      <alignment horizontal="center" vertical="center"/>
    </xf>
    <xf numFmtId="0" fontId="29" fillId="0" borderId="0" xfId="0" applyFont="1" applyFill="1" applyAlignment="1">
      <alignment horizontal="left" vertical="center"/>
    </xf>
    <xf numFmtId="0" fontId="28" fillId="0" borderId="0" xfId="0" applyFont="1" applyFill="1" applyAlignment="1">
      <alignment horizontal="center" vertical="center"/>
    </xf>
    <xf numFmtId="0" fontId="28" fillId="0" borderId="7" xfId="0" applyFont="1" applyFill="1" applyBorder="1" applyAlignment="1">
      <alignment horizontal="left" vertical="center"/>
    </xf>
    <xf numFmtId="0" fontId="8" fillId="0" borderId="7" xfId="0" applyFont="1" applyFill="1" applyBorder="1" applyAlignment="1">
      <alignment horizontal="right" vertical="center"/>
    </xf>
    <xf numFmtId="0" fontId="8" fillId="0" borderId="8" xfId="0" applyFont="1" applyFill="1" applyBorder="1" applyAlignment="1">
      <alignment horizontal="right" vertical="center"/>
    </xf>
    <xf numFmtId="0" fontId="0" fillId="0" borderId="0" xfId="0" applyFont="1" applyFill="1" applyAlignment="1" applyProtection="1">
      <alignment horizontal="center" vertical="center"/>
      <protection locked="0"/>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3" fillId="0" borderId="0" xfId="0" applyFont="1" applyFill="1" applyAlignment="1">
      <alignment horizontal="center" vertical="center"/>
    </xf>
    <xf numFmtId="0" fontId="3" fillId="0" borderId="46" xfId="0" applyFont="1" applyFill="1" applyBorder="1" applyAlignment="1">
      <alignment horizontal="center" vertical="center"/>
    </xf>
    <xf numFmtId="0" fontId="0" fillId="0" borderId="17" xfId="0" applyFont="1" applyFill="1" applyBorder="1" applyAlignment="1" applyProtection="1">
      <alignment horizontal="center" vertical="center"/>
      <protection locked="0"/>
    </xf>
    <xf numFmtId="0" fontId="3" fillId="0" borderId="0" xfId="0" applyFont="1" applyFill="1" applyAlignment="1">
      <alignment vertical="center" wrapText="1"/>
    </xf>
    <xf numFmtId="0" fontId="3" fillId="0" borderId="3" xfId="0" applyFont="1" applyFill="1" applyBorder="1" applyAlignment="1">
      <alignment vertical="center"/>
    </xf>
    <xf numFmtId="0" fontId="3" fillId="0" borderId="1" xfId="0" applyFont="1" applyFill="1" applyBorder="1" applyAlignment="1">
      <alignment horizontal="center"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3" xfId="0" applyFont="1" applyFill="1" applyBorder="1" applyAlignment="1">
      <alignment horizontal="left" vertical="center" wrapText="1"/>
    </xf>
    <xf numFmtId="0" fontId="3" fillId="0" borderId="1" xfId="0" applyFont="1" applyFill="1" applyBorder="1" applyAlignment="1">
      <alignment vertical="center"/>
    </xf>
    <xf numFmtId="0" fontId="3" fillId="0" borderId="1" xfId="0" applyFont="1" applyFill="1" applyBorder="1" applyAlignment="1">
      <alignment vertical="top"/>
    </xf>
    <xf numFmtId="0" fontId="0" fillId="0" borderId="3"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3" fillId="0" borderId="41" xfId="0" applyFont="1" applyFill="1" applyBorder="1" applyAlignment="1">
      <alignment horizontal="left" vertical="center"/>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3" fillId="0" borderId="17" xfId="0" applyFont="1" applyFill="1" applyBorder="1" applyAlignment="1">
      <alignment vertical="top"/>
    </xf>
    <xf numFmtId="0" fontId="0" fillId="0" borderId="33" xfId="0" applyFont="1" applyFill="1" applyBorder="1" applyAlignment="1" applyProtection="1">
      <alignment horizontal="center" vertical="center"/>
      <protection locked="0"/>
    </xf>
    <xf numFmtId="0" fontId="3" fillId="0" borderId="29" xfId="0" applyFont="1" applyFill="1" applyBorder="1" applyAlignment="1">
      <alignment vertical="center"/>
    </xf>
    <xf numFmtId="0" fontId="0"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pplyProtection="1">
      <alignment horizontal="center" vertical="center"/>
      <protection locked="0"/>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4" xfId="0" applyFont="1" applyFill="1" applyBorder="1" applyAlignment="1">
      <alignment horizontal="left" vertical="center"/>
    </xf>
    <xf numFmtId="0" fontId="3" fillId="0" borderId="28" xfId="0" applyFont="1" applyFill="1" applyBorder="1" applyAlignment="1">
      <alignment horizontal="left" vertical="center" wrapText="1"/>
    </xf>
    <xf numFmtId="0" fontId="3" fillId="0" borderId="34" xfId="0" applyFont="1" applyFill="1" applyBorder="1" applyAlignment="1">
      <alignment vertical="center"/>
    </xf>
    <xf numFmtId="0" fontId="0" fillId="0" borderId="34" xfId="0" applyFont="1" applyFill="1" applyBorder="1" applyAlignment="1">
      <alignment vertical="center"/>
    </xf>
    <xf numFmtId="0" fontId="3" fillId="0" borderId="0" xfId="0" applyFont="1" applyFill="1" applyAlignment="1">
      <alignment horizontal="left" vertical="center"/>
    </xf>
    <xf numFmtId="0" fontId="3" fillId="0" borderId="27" xfId="0" applyFont="1" applyFill="1" applyBorder="1" applyAlignment="1">
      <alignment vertical="center"/>
    </xf>
    <xf numFmtId="0" fontId="3" fillId="0" borderId="41" xfId="0" applyFont="1" applyFill="1" applyBorder="1" applyAlignment="1">
      <alignment horizontal="left" vertical="center"/>
    </xf>
    <xf numFmtId="0" fontId="3" fillId="0" borderId="42" xfId="0" applyFont="1" applyFill="1" applyBorder="1" applyAlignment="1">
      <alignment vertical="center"/>
    </xf>
    <xf numFmtId="0" fontId="0" fillId="0" borderId="0" xfId="0" applyFont="1" applyFill="1" applyAlignment="1">
      <alignment horizontal="center" vertical="center"/>
    </xf>
    <xf numFmtId="0" fontId="3" fillId="0" borderId="36" xfId="0" applyFont="1" applyFill="1" applyBorder="1" applyAlignment="1">
      <alignment vertical="center"/>
    </xf>
    <xf numFmtId="0" fontId="0" fillId="0" borderId="40" xfId="0" applyFont="1" applyFill="1" applyBorder="1" applyAlignment="1" applyProtection="1">
      <alignment horizontal="center" vertical="center"/>
      <protection locked="0"/>
    </xf>
    <xf numFmtId="0" fontId="3" fillId="0" borderId="46" xfId="0" applyFont="1" applyFill="1" applyBorder="1" applyAlignment="1">
      <alignment horizontal="left" vertical="center"/>
    </xf>
    <xf numFmtId="0" fontId="0" fillId="0" borderId="41" xfId="0" applyFont="1" applyFill="1" applyBorder="1" applyAlignment="1">
      <alignment vertical="center"/>
    </xf>
    <xf numFmtId="0" fontId="0" fillId="0" borderId="27"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47"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0" fillId="0" borderId="12"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3" fillId="0" borderId="5" xfId="0" applyFont="1" applyFill="1" applyBorder="1" applyAlignment="1">
      <alignment vertical="top"/>
    </xf>
    <xf numFmtId="0" fontId="3" fillId="0" borderId="15" xfId="0" applyFont="1" applyFill="1" applyBorder="1" applyAlignment="1">
      <alignment vertical="top"/>
    </xf>
    <xf numFmtId="0" fontId="0" fillId="0" borderId="37" xfId="0" applyFont="1" applyFill="1" applyBorder="1" applyAlignment="1" applyProtection="1">
      <alignment horizontal="center" vertical="center"/>
      <protection locked="0"/>
    </xf>
    <xf numFmtId="0" fontId="3" fillId="0" borderId="38" xfId="0" applyFont="1" applyFill="1" applyBorder="1" applyAlignment="1">
      <alignment vertical="center"/>
    </xf>
    <xf numFmtId="0" fontId="0" fillId="0" borderId="38" xfId="0" applyFont="1" applyFill="1" applyBorder="1" applyAlignment="1">
      <alignment vertical="center"/>
    </xf>
    <xf numFmtId="0" fontId="3" fillId="0" borderId="38" xfId="0" applyFont="1" applyFill="1" applyBorder="1" applyAlignment="1">
      <alignment horizontal="left" vertical="center" wrapText="1"/>
    </xf>
    <xf numFmtId="0" fontId="0" fillId="0" borderId="38" xfId="0" applyFont="1" applyFill="1" applyBorder="1" applyAlignment="1" applyProtection="1">
      <alignment horizontal="center" vertical="center"/>
      <protection locked="0"/>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0" fillId="0" borderId="41" xfId="0" applyFont="1" applyFill="1" applyBorder="1" applyAlignment="1" applyProtection="1">
      <alignment horizontal="center" vertical="center"/>
      <protection locked="0"/>
    </xf>
    <xf numFmtId="0" fontId="0" fillId="0" borderId="35"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3" fillId="0" borderId="29" xfId="0" applyFont="1" applyFill="1" applyBorder="1" applyAlignment="1">
      <alignment horizontal="left" vertical="center"/>
    </xf>
    <xf numFmtId="0" fontId="3" fillId="0" borderId="34" xfId="0" applyFont="1" applyFill="1" applyBorder="1" applyAlignment="1">
      <alignment horizontal="left" vertical="center"/>
    </xf>
    <xf numFmtId="0" fontId="3" fillId="0" borderId="27" xfId="0" applyFont="1" applyFill="1" applyBorder="1" applyAlignment="1">
      <alignment horizontal="left" vertical="center"/>
    </xf>
    <xf numFmtId="0" fontId="3" fillId="0" borderId="36" xfId="0" applyFont="1" applyFill="1" applyBorder="1" applyAlignment="1">
      <alignment horizontal="left" vertical="center"/>
    </xf>
    <xf numFmtId="0" fontId="0" fillId="0" borderId="5" xfId="0" applyFont="1" applyFill="1" applyBorder="1" applyAlignment="1" applyProtection="1">
      <alignment horizontal="center" vertical="center"/>
      <protection locked="0"/>
    </xf>
    <xf numFmtId="0" fontId="3" fillId="0" borderId="3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31" xfId="0" applyFont="1" applyFill="1" applyBorder="1" applyAlignment="1">
      <alignment vertical="center"/>
    </xf>
    <xf numFmtId="0" fontId="3" fillId="0" borderId="31" xfId="0" applyFont="1" applyFill="1" applyBorder="1" applyAlignment="1">
      <alignment horizontal="left" vertical="center" wrapText="1"/>
    </xf>
    <xf numFmtId="0" fontId="0" fillId="0" borderId="31" xfId="0" applyFont="1" applyFill="1" applyBorder="1" applyAlignment="1" applyProtection="1">
      <alignment horizontal="center" vertical="center"/>
      <protection locked="0"/>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0" fillId="0" borderId="27" xfId="0" applyFont="1" applyFill="1" applyBorder="1" applyAlignment="1" applyProtection="1">
      <alignment horizontal="center" vertical="center"/>
      <protection locked="0"/>
    </xf>
    <xf numFmtId="0" fontId="3" fillId="0" borderId="0" xfId="0" applyFont="1" applyFill="1" applyAlignment="1">
      <alignment horizontal="left" vertical="center" wrapText="1"/>
    </xf>
    <xf numFmtId="0" fontId="0" fillId="0" borderId="41" xfId="0" applyFont="1" applyFill="1" applyBorder="1" applyAlignment="1" applyProtection="1">
      <alignment horizontal="center" vertical="center"/>
      <protection locked="0"/>
    </xf>
    <xf numFmtId="0" fontId="3" fillId="0" borderId="1" xfId="0" applyFont="1" applyFill="1" applyBorder="1" applyAlignment="1">
      <alignment horizontal="left" vertical="center"/>
    </xf>
    <xf numFmtId="0" fontId="3" fillId="0" borderId="45" xfId="0" applyFont="1" applyFill="1" applyBorder="1" applyAlignment="1">
      <alignment horizontal="left" vertical="center"/>
    </xf>
    <xf numFmtId="0" fontId="3" fillId="0" borderId="15" xfId="0" applyFont="1" applyFill="1" applyBorder="1" applyAlignment="1">
      <alignment horizontal="left" vertical="center"/>
    </xf>
    <xf numFmtId="0" fontId="3" fillId="0" borderId="38" xfId="0" applyFont="1" applyFill="1" applyBorder="1" applyAlignment="1">
      <alignment horizontal="left" vertical="center"/>
    </xf>
    <xf numFmtId="0" fontId="0" fillId="0" borderId="17" xfId="0" applyFont="1" applyFill="1" applyBorder="1" applyAlignment="1" applyProtection="1">
      <alignment horizontal="center" vertical="center"/>
      <protection locked="0"/>
    </xf>
    <xf numFmtId="0" fontId="0" fillId="0" borderId="0" xfId="0" applyFont="1" applyFill="1" applyAlignment="1" applyProtection="1">
      <alignment horizontal="center" vertical="center"/>
      <protection locked="0"/>
    </xf>
    <xf numFmtId="0" fontId="3" fillId="0" borderId="42" xfId="0" applyFont="1" applyFill="1" applyBorder="1" applyAlignment="1">
      <alignment horizontal="left" vertical="center"/>
    </xf>
    <xf numFmtId="0" fontId="3" fillId="0" borderId="28" xfId="0" applyFont="1" applyFill="1" applyBorder="1" applyAlignment="1">
      <alignment vertical="center" wrapText="1"/>
    </xf>
    <xf numFmtId="0" fontId="3" fillId="0" borderId="28" xfId="0" applyFont="1" applyFill="1" applyBorder="1" applyAlignment="1">
      <alignment horizontal="left" vertical="center"/>
    </xf>
    <xf numFmtId="0" fontId="3" fillId="0" borderId="45" xfId="0" applyFont="1" applyFill="1" applyBorder="1" applyAlignment="1">
      <alignment horizontal="left" vertical="center"/>
    </xf>
    <xf numFmtId="0" fontId="3" fillId="0" borderId="4" xfId="0" applyFont="1" applyFill="1" applyBorder="1" applyAlignment="1">
      <alignment horizontal="left" vertical="center" wrapText="1"/>
    </xf>
    <xf numFmtId="0" fontId="3" fillId="0" borderId="28" xfId="0" applyFont="1" applyFill="1" applyBorder="1" applyAlignment="1">
      <alignment horizontal="left" vertical="center"/>
    </xf>
    <xf numFmtId="0" fontId="3" fillId="0" borderId="28" xfId="0" applyFont="1" applyFill="1" applyBorder="1" applyAlignment="1">
      <alignment horizontal="left" vertical="center" wrapText="1"/>
    </xf>
    <xf numFmtId="0" fontId="3" fillId="0" borderId="28" xfId="0" applyFont="1" applyFill="1" applyBorder="1" applyAlignment="1">
      <alignment horizontal="left" vertical="center" shrinkToFit="1"/>
    </xf>
    <xf numFmtId="0" fontId="3" fillId="0" borderId="52" xfId="0" applyFont="1" applyFill="1" applyBorder="1" applyAlignment="1">
      <alignment horizontal="left" vertical="center" wrapText="1"/>
    </xf>
    <xf numFmtId="0" fontId="0" fillId="0" borderId="53" xfId="0" applyFont="1" applyFill="1" applyBorder="1" applyAlignment="1" applyProtection="1">
      <alignment horizontal="center" vertical="center"/>
      <protection locked="0"/>
    </xf>
    <xf numFmtId="0" fontId="0" fillId="0" borderId="41" xfId="0" applyFont="1" applyFill="1" applyBorder="1" applyAlignment="1">
      <alignment horizontal="center" vertical="center"/>
    </xf>
    <xf numFmtId="0" fontId="3" fillId="0" borderId="50" xfId="0" applyFont="1" applyFill="1" applyBorder="1" applyAlignment="1">
      <alignment vertical="center"/>
    </xf>
    <xf numFmtId="0" fontId="3" fillId="0" borderId="48" xfId="0" applyFont="1" applyFill="1" applyBorder="1" applyAlignment="1">
      <alignment vertical="center" shrinkToFit="1"/>
    </xf>
    <xf numFmtId="0" fontId="3" fillId="0" borderId="17" xfId="0" applyFont="1" applyFill="1" applyBorder="1" applyAlignment="1">
      <alignment horizontal="left" vertical="center" shrinkToFit="1"/>
    </xf>
    <xf numFmtId="0" fontId="3" fillId="0" borderId="29" xfId="0" applyFont="1" applyFill="1" applyBorder="1" applyAlignment="1">
      <alignment horizontal="left" vertical="center"/>
    </xf>
    <xf numFmtId="0" fontId="3" fillId="0" borderId="30" xfId="0" applyFont="1" applyFill="1" applyBorder="1" applyAlignment="1">
      <alignment vertical="center"/>
    </xf>
    <xf numFmtId="0" fontId="0" fillId="0" borderId="27" xfId="0" applyFont="1" applyFill="1" applyBorder="1" applyAlignment="1">
      <alignment horizontal="left" vertical="center"/>
    </xf>
    <xf numFmtId="0" fontId="0"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33" xfId="0" applyFont="1" applyFill="1" applyBorder="1" applyAlignment="1">
      <alignment horizontal="left" vertical="center"/>
    </xf>
    <xf numFmtId="0" fontId="3" fillId="0" borderId="33" xfId="0" applyFont="1" applyFill="1" applyBorder="1" applyAlignment="1">
      <alignment vertical="center" wrapText="1"/>
    </xf>
    <xf numFmtId="0" fontId="7" fillId="0" borderId="27" xfId="0" applyFont="1" applyFill="1" applyBorder="1" applyAlignment="1">
      <alignment vertical="center"/>
    </xf>
    <xf numFmtId="0" fontId="27" fillId="0" borderId="27" xfId="0" applyFont="1" applyFill="1" applyBorder="1" applyAlignment="1">
      <alignment vertical="center"/>
    </xf>
    <xf numFmtId="0" fontId="3" fillId="0" borderId="25" xfId="0" applyFont="1" applyFill="1" applyBorder="1" applyAlignment="1">
      <alignment vertical="center" shrinkToFit="1"/>
    </xf>
    <xf numFmtId="0" fontId="3" fillId="0" borderId="3" xfId="0" applyFont="1" applyFill="1" applyBorder="1" applyAlignment="1">
      <alignment horizontal="left" vertical="center" shrinkToFit="1"/>
    </xf>
    <xf numFmtId="0" fontId="0" fillId="0" borderId="39" xfId="0" applyFont="1" applyFill="1" applyBorder="1" applyAlignment="1">
      <alignment vertical="center"/>
    </xf>
    <xf numFmtId="0" fontId="3" fillId="0" borderId="40" xfId="0" applyFont="1" applyFill="1" applyBorder="1" applyAlignment="1">
      <alignment vertical="center"/>
    </xf>
    <xf numFmtId="0" fontId="0" fillId="0" borderId="3" xfId="0" applyFont="1" applyFill="1" applyBorder="1" applyAlignment="1" applyProtection="1">
      <alignment horizontal="center" vertical="center"/>
      <protection locked="0"/>
    </xf>
    <xf numFmtId="0" fontId="3" fillId="0" borderId="4" xfId="0" applyFont="1" applyFill="1" applyBorder="1" applyAlignment="1">
      <alignment horizontal="left" vertical="center"/>
    </xf>
    <xf numFmtId="0" fontId="0" fillId="0" borderId="4" xfId="0" applyFont="1" applyFill="1" applyBorder="1" applyAlignment="1" applyProtection="1">
      <alignment horizontal="center" vertical="center"/>
      <protection locked="0"/>
    </xf>
    <xf numFmtId="0" fontId="3" fillId="0" borderId="36" xfId="0" applyFont="1" applyFill="1" applyBorder="1" applyAlignment="1">
      <alignment horizontal="left" vertical="center"/>
    </xf>
    <xf numFmtId="0" fontId="3" fillId="0" borderId="42" xfId="0" applyFont="1" applyFill="1" applyBorder="1" applyAlignment="1">
      <alignment horizontal="left" vertical="center"/>
    </xf>
    <xf numFmtId="0" fontId="3" fillId="0" borderId="3"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0" fillId="0" borderId="16" xfId="0" applyFont="1" applyFill="1" applyBorder="1" applyAlignment="1" applyProtection="1">
      <alignment horizontal="center" vertical="center"/>
      <protection locked="0"/>
    </xf>
    <xf numFmtId="0" fontId="3" fillId="0" borderId="5" xfId="0" applyFont="1" applyFill="1" applyBorder="1" applyAlignment="1">
      <alignment vertical="center" wrapText="1"/>
    </xf>
    <xf numFmtId="0" fontId="3" fillId="0" borderId="25" xfId="0" applyFont="1" applyFill="1" applyBorder="1" applyAlignment="1">
      <alignment vertical="center" wrapText="1"/>
    </xf>
    <xf numFmtId="0" fontId="3" fillId="0" borderId="48" xfId="0" applyFont="1" applyFill="1" applyBorder="1" applyAlignment="1">
      <alignment vertical="center" wrapText="1"/>
    </xf>
    <xf numFmtId="0" fontId="28" fillId="0" borderId="0" xfId="0" applyFont="1" applyFill="1" applyAlignment="1">
      <alignment horizontal="left" vertical="center"/>
    </xf>
    <xf numFmtId="14" fontId="3" fillId="0" borderId="0" xfId="0" applyNumberFormat="1" applyFont="1" applyFill="1" applyAlignment="1">
      <alignment horizontal="left" vertical="center"/>
    </xf>
    <xf numFmtId="0" fontId="27" fillId="0" borderId="27" xfId="0" applyFont="1" applyFill="1" applyBorder="1" applyAlignment="1">
      <alignment horizontal="left" vertical="center"/>
    </xf>
    <xf numFmtId="0" fontId="27" fillId="0" borderId="36" xfId="0" applyFont="1" applyFill="1" applyBorder="1" applyAlignment="1">
      <alignment horizontal="left" vertical="center"/>
    </xf>
    <xf numFmtId="0" fontId="3" fillId="0" borderId="0" xfId="0" applyFont="1" applyAlignment="1">
      <alignment horizontal="left" vertical="center" wrapText="1"/>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25" xfId="0" applyFont="1" applyBorder="1" applyAlignment="1">
      <alignment vertical="center"/>
    </xf>
    <xf numFmtId="0" fontId="3" fillId="0" borderId="1" xfId="0" applyFont="1" applyBorder="1" applyAlignment="1">
      <alignment vertical="center" wrapText="1"/>
    </xf>
    <xf numFmtId="0" fontId="3" fillId="0" borderId="37" xfId="0" applyFont="1" applyBorder="1" applyAlignment="1">
      <alignment vertical="center"/>
    </xf>
    <xf numFmtId="0" fontId="0" fillId="0" borderId="37" xfId="0" applyBorder="1" applyAlignment="1" applyProtection="1">
      <alignment horizontal="center" vertical="center"/>
      <protection locked="0"/>
    </xf>
    <xf numFmtId="0" fontId="3" fillId="0" borderId="38" xfId="0" applyFont="1" applyBorder="1" applyAlignment="1">
      <alignment vertical="center"/>
    </xf>
    <xf numFmtId="0" fontId="0" fillId="0" borderId="38" xfId="0" applyBorder="1" applyAlignment="1">
      <alignment vertical="center"/>
    </xf>
    <xf numFmtId="0" fontId="3" fillId="0" borderId="38" xfId="0" applyFont="1" applyBorder="1" applyAlignment="1">
      <alignment horizontal="left" vertical="center" wrapText="1"/>
    </xf>
    <xf numFmtId="0" fontId="0" fillId="0" borderId="38" xfId="0" applyBorder="1" applyAlignment="1" applyProtection="1">
      <alignment horizontal="center" vertical="center"/>
      <protection locked="0"/>
    </xf>
    <xf numFmtId="0" fontId="0" fillId="0" borderId="38" xfId="0" applyBorder="1" applyAlignment="1">
      <alignment horizontal="center" vertical="center"/>
    </xf>
    <xf numFmtId="0" fontId="0" fillId="0" borderId="38" xfId="0" applyBorder="1" applyAlignment="1">
      <alignment horizontal="left" vertical="center"/>
    </xf>
    <xf numFmtId="0" fontId="0" fillId="0" borderId="39" xfId="0" applyBorder="1" applyAlignment="1">
      <alignment horizontal="left" vertical="center"/>
    </xf>
    <xf numFmtId="0" fontId="0" fillId="0" borderId="4" xfId="0" applyBorder="1" applyAlignment="1" applyProtection="1">
      <alignment horizontal="center" vertical="center"/>
      <protection locked="0"/>
    </xf>
    <xf numFmtId="0" fontId="3" fillId="0" borderId="1" xfId="0" applyFont="1" applyBorder="1" applyAlignment="1">
      <alignment vertical="top"/>
    </xf>
    <xf numFmtId="0" fontId="29" fillId="0" borderId="0" xfId="0" applyFont="1" applyAlignment="1">
      <alignment horizontal="left" vertical="center"/>
    </xf>
    <xf numFmtId="0" fontId="3" fillId="0" borderId="17" xfId="0" applyFont="1" applyBorder="1" applyAlignment="1">
      <alignment vertical="center"/>
    </xf>
    <xf numFmtId="0" fontId="3" fillId="0" borderId="46" xfId="0" applyFont="1" applyBorder="1" applyAlignment="1">
      <alignment horizontal="center" vertical="center"/>
    </xf>
    <xf numFmtId="0" fontId="3" fillId="0" borderId="48" xfId="0" applyFont="1" applyBorder="1" applyAlignment="1">
      <alignment vertical="center"/>
    </xf>
    <xf numFmtId="0" fontId="3" fillId="0" borderId="17" xfId="0" applyFont="1" applyBorder="1" applyAlignment="1">
      <alignment horizontal="left" vertical="center"/>
    </xf>
    <xf numFmtId="0" fontId="3" fillId="0" borderId="46" xfId="0" applyFont="1" applyBorder="1" applyAlignment="1">
      <alignment vertical="center" wrapText="1"/>
    </xf>
    <xf numFmtId="0" fontId="3" fillId="0" borderId="46" xfId="0" applyFont="1" applyBorder="1" applyAlignment="1">
      <alignment vertical="center"/>
    </xf>
    <xf numFmtId="0" fontId="3" fillId="0" borderId="33" xfId="0" applyFont="1" applyBorder="1" applyAlignment="1">
      <alignment vertical="center"/>
    </xf>
    <xf numFmtId="0" fontId="0" fillId="0" borderId="33" xfId="0" applyBorder="1" applyAlignment="1" applyProtection="1">
      <alignment horizontal="center" vertical="center"/>
      <protection locked="0"/>
    </xf>
    <xf numFmtId="0" fontId="3" fillId="0" borderId="29" xfId="0" applyFont="1" applyBorder="1" applyAlignment="1">
      <alignment vertical="center"/>
    </xf>
    <xf numFmtId="0" fontId="0" fillId="0" borderId="29" xfId="0" applyBorder="1" applyAlignment="1">
      <alignment vertical="center"/>
    </xf>
    <xf numFmtId="0" fontId="3" fillId="0" borderId="29" xfId="0" applyFont="1" applyBorder="1" applyAlignment="1">
      <alignment horizontal="left" vertical="center" wrapText="1"/>
    </xf>
    <xf numFmtId="0" fontId="0" fillId="0" borderId="29" xfId="0" applyBorder="1" applyAlignment="1" applyProtection="1">
      <alignment horizontal="center" vertical="center"/>
      <protection locked="0"/>
    </xf>
    <xf numFmtId="0" fontId="0" fillId="0" borderId="29" xfId="0" applyBorder="1" applyAlignment="1">
      <alignment horizontal="center" vertical="center"/>
    </xf>
    <xf numFmtId="0" fontId="0" fillId="0" borderId="29" xfId="0" applyBorder="1" applyAlignment="1">
      <alignment horizontal="left" vertical="center"/>
    </xf>
    <xf numFmtId="0" fontId="0" fillId="0" borderId="34" xfId="0" applyBorder="1" applyAlignment="1">
      <alignment horizontal="left" vertical="center"/>
    </xf>
    <xf numFmtId="0" fontId="0" fillId="0" borderId="0" xfId="0" applyAlignment="1" applyProtection="1">
      <alignment horizontal="center" vertical="center"/>
      <protection locked="0"/>
    </xf>
    <xf numFmtId="0" fontId="3" fillId="0" borderId="0" xfId="0" applyFont="1" applyAlignment="1">
      <alignment vertical="top"/>
    </xf>
    <xf numFmtId="0" fontId="3" fillId="0" borderId="46" xfId="0" applyFont="1" applyBorder="1" applyAlignment="1">
      <alignment vertical="top"/>
    </xf>
    <xf numFmtId="0" fontId="3" fillId="0" borderId="44" xfId="0" applyFont="1" applyBorder="1" applyAlignment="1">
      <alignment horizontal="left" vertical="center" wrapText="1"/>
    </xf>
    <xf numFmtId="0" fontId="0" fillId="0" borderId="17" xfId="0" applyBorder="1" applyAlignment="1" applyProtection="1">
      <alignment horizontal="center" vertical="center"/>
      <protection locked="0"/>
    </xf>
    <xf numFmtId="0" fontId="3" fillId="0" borderId="41" xfId="0" applyFont="1" applyBorder="1" applyAlignment="1">
      <alignment vertical="center"/>
    </xf>
    <xf numFmtId="0" fontId="0" fillId="0" borderId="41" xfId="0" applyBorder="1" applyAlignment="1">
      <alignment vertical="center"/>
    </xf>
    <xf numFmtId="0" fontId="0" fillId="0" borderId="41" xfId="0" applyBorder="1" applyAlignment="1">
      <alignment horizontal="left" vertical="center"/>
    </xf>
    <xf numFmtId="0" fontId="0" fillId="0" borderId="42" xfId="0" applyBorder="1" applyAlignment="1">
      <alignment horizontal="left" vertical="center"/>
    </xf>
    <xf numFmtId="0" fontId="0" fillId="0" borderId="27" xfId="0" applyBorder="1" applyAlignment="1">
      <alignment vertical="center"/>
    </xf>
    <xf numFmtId="0" fontId="0" fillId="0" borderId="36" xfId="0" applyBorder="1" applyAlignment="1">
      <alignment vertical="center"/>
    </xf>
    <xf numFmtId="0" fontId="3" fillId="0" borderId="17" xfId="0" applyFont="1" applyBorder="1" applyAlignment="1">
      <alignment vertical="top"/>
    </xf>
    <xf numFmtId="0" fontId="3" fillId="0" borderId="30" xfId="0" applyFont="1" applyBorder="1" applyAlignment="1">
      <alignment horizontal="left" vertical="center" wrapText="1"/>
    </xf>
    <xf numFmtId="0" fontId="0" fillId="0" borderId="35" xfId="0" applyBorder="1" applyAlignment="1" applyProtection="1">
      <alignment horizontal="center" vertical="center"/>
      <protection locked="0"/>
    </xf>
    <xf numFmtId="0" fontId="3" fillId="0" borderId="27" xfId="0" applyFont="1" applyBorder="1" applyAlignment="1">
      <alignment vertical="center"/>
    </xf>
    <xf numFmtId="0" fontId="3" fillId="0" borderId="27" xfId="0" applyFont="1" applyBorder="1" applyAlignment="1">
      <alignment horizontal="left" vertical="center" wrapText="1"/>
    </xf>
    <xf numFmtId="0" fontId="0" fillId="0" borderId="27" xfId="0" applyBorder="1" applyAlignment="1" applyProtection="1">
      <alignment horizontal="center" vertical="center"/>
      <protection locked="0"/>
    </xf>
    <xf numFmtId="0" fontId="3" fillId="0" borderId="31" xfId="0" applyFont="1" applyBorder="1" applyAlignment="1">
      <alignment vertical="center"/>
    </xf>
    <xf numFmtId="0" fontId="3" fillId="0" borderId="31" xfId="0" applyFont="1" applyBorder="1" applyAlignment="1">
      <alignment horizontal="left" vertical="center" wrapText="1"/>
    </xf>
    <xf numFmtId="0" fontId="0" fillId="0" borderId="31" xfId="0" applyBorder="1" applyAlignment="1" applyProtection="1">
      <alignment horizontal="center" vertical="center"/>
      <protection locked="0"/>
    </xf>
    <xf numFmtId="0" fontId="3" fillId="0" borderId="31" xfId="0" applyFont="1" applyBorder="1" applyAlignment="1">
      <alignment horizontal="left" vertical="center"/>
    </xf>
    <xf numFmtId="0" fontId="0" fillId="0" borderId="31" xfId="0" applyBorder="1" applyAlignment="1">
      <alignment horizontal="center" vertical="center"/>
    </xf>
    <xf numFmtId="0" fontId="3" fillId="0" borderId="32" xfId="0" applyFont="1" applyBorder="1" applyAlignment="1">
      <alignment horizontal="left" vertical="center"/>
    </xf>
    <xf numFmtId="0" fontId="0" fillId="0" borderId="0" xfId="0" applyAlignment="1">
      <alignment horizontal="center" vertical="center"/>
    </xf>
    <xf numFmtId="0" fontId="3" fillId="0" borderId="46" xfId="0" applyFont="1" applyBorder="1" applyAlignment="1">
      <alignment horizontal="left" vertical="center"/>
    </xf>
    <xf numFmtId="0" fontId="3" fillId="0" borderId="41" xfId="0" applyFont="1" applyBorder="1" applyAlignment="1">
      <alignment horizontal="left" vertical="center"/>
    </xf>
    <xf numFmtId="0" fontId="3" fillId="0" borderId="28" xfId="0" applyFont="1" applyBorder="1" applyAlignment="1">
      <alignment horizontal="left" vertical="center" wrapText="1"/>
    </xf>
    <xf numFmtId="0" fontId="3" fillId="0" borderId="16" xfId="0" applyFont="1" applyBorder="1" applyAlignment="1">
      <alignment vertical="center"/>
    </xf>
    <xf numFmtId="0" fontId="3" fillId="0" borderId="47" xfId="0" applyFont="1" applyBorder="1" applyAlignment="1">
      <alignment vertical="center"/>
    </xf>
    <xf numFmtId="0" fontId="3" fillId="0" borderId="16" xfId="0" applyFont="1" applyBorder="1" applyAlignment="1">
      <alignment horizontal="left" vertical="center"/>
    </xf>
    <xf numFmtId="0" fontId="3" fillId="0" borderId="15" xfId="0" applyFont="1" applyBorder="1" applyAlignment="1">
      <alignment vertical="center" wrapText="1"/>
    </xf>
    <xf numFmtId="0" fontId="3" fillId="0" borderId="15" xfId="0" applyFont="1" applyBorder="1" applyAlignment="1">
      <alignment vertical="center"/>
    </xf>
    <xf numFmtId="0" fontId="3" fillId="0" borderId="43" xfId="0" applyFont="1" applyBorder="1" applyAlignment="1">
      <alignment horizontal="left" vertical="center" wrapText="1"/>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3" xfId="0" applyBorder="1" applyAlignment="1">
      <alignment horizontal="left" vertical="center"/>
    </xf>
    <xf numFmtId="0" fontId="0" fillId="0" borderId="14" xfId="0" applyBorder="1" applyAlignment="1">
      <alignment horizontal="left" vertical="center"/>
    </xf>
    <xf numFmtId="0" fontId="3" fillId="0" borderId="16" xfId="0" applyFont="1" applyBorder="1" applyAlignment="1">
      <alignment vertical="top"/>
    </xf>
    <xf numFmtId="0" fontId="3" fillId="0" borderId="5" xfId="0" applyFont="1" applyBorder="1" applyAlignment="1">
      <alignment vertical="top"/>
    </xf>
    <xf numFmtId="0" fontId="3" fillId="0" borderId="15" xfId="0" applyFont="1" applyBorder="1" applyAlignment="1">
      <alignment vertical="top"/>
    </xf>
    <xf numFmtId="0" fontId="3" fillId="0" borderId="45" xfId="0" applyFont="1" applyBorder="1" applyAlignment="1">
      <alignment vertical="center"/>
    </xf>
    <xf numFmtId="0" fontId="3" fillId="0" borderId="48" xfId="0" applyFont="1" applyBorder="1" applyAlignment="1">
      <alignment vertical="center" wrapText="1"/>
    </xf>
    <xf numFmtId="0" fontId="3" fillId="0" borderId="47" xfId="0" applyFont="1" applyBorder="1" applyAlignment="1">
      <alignment vertical="center" wrapText="1"/>
    </xf>
    <xf numFmtId="0" fontId="3" fillId="0" borderId="43" xfId="0" applyFont="1" applyBorder="1" applyAlignment="1">
      <alignment horizontal="left" vertical="center"/>
    </xf>
    <xf numFmtId="0" fontId="0" fillId="0" borderId="13" xfId="0" applyBorder="1" applyAlignment="1">
      <alignment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28"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 xfId="0" applyFont="1" applyFill="1" applyBorder="1" applyAlignment="1">
      <alignment horizontal="center" vertical="center"/>
    </xf>
    <xf numFmtId="49" fontId="8" fillId="0" borderId="6" xfId="0" applyNumberFormat="1" applyFont="1" applyFill="1" applyBorder="1" applyAlignment="1">
      <alignment horizontal="left" vertical="center"/>
    </xf>
    <xf numFmtId="49" fontId="8" fillId="0" borderId="7" xfId="0" applyNumberFormat="1" applyFont="1" applyFill="1" applyBorder="1" applyAlignment="1">
      <alignment horizontal="left" vertical="center"/>
    </xf>
    <xf numFmtId="49" fontId="8" fillId="0" borderId="8" xfId="0" applyNumberFormat="1" applyFont="1" applyFill="1" applyBorder="1" applyAlignment="1">
      <alignment horizontal="left" vertical="center"/>
    </xf>
    <xf numFmtId="0" fontId="8"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0" xfId="0" applyFont="1" applyFill="1" applyAlignment="1">
      <alignment horizontal="center" vertical="center"/>
    </xf>
    <xf numFmtId="0" fontId="3" fillId="0" borderId="46"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48" xfId="0" applyFont="1" applyFill="1" applyBorder="1" applyAlignment="1">
      <alignment horizontal="left" vertical="center"/>
    </xf>
    <xf numFmtId="0" fontId="3" fillId="0" borderId="27" xfId="0" applyFont="1" applyFill="1" applyBorder="1" applyAlignment="1">
      <alignment horizontal="left" vertical="center"/>
    </xf>
    <xf numFmtId="0" fontId="3" fillId="0" borderId="41" xfId="0" applyFont="1" applyFill="1" applyBorder="1" applyAlignment="1">
      <alignment horizontal="left" vertical="center"/>
    </xf>
    <xf numFmtId="0" fontId="3" fillId="0" borderId="63" xfId="0" applyFont="1" applyFill="1" applyBorder="1" applyAlignment="1">
      <alignment horizontal="center" vertical="center"/>
    </xf>
    <xf numFmtId="0" fontId="3" fillId="0" borderId="65" xfId="0" applyFont="1" applyFill="1" applyBorder="1" applyAlignment="1">
      <alignment horizontal="center" vertical="center"/>
    </xf>
    <xf numFmtId="0" fontId="3" fillId="0" borderId="66" xfId="0" applyFont="1" applyFill="1" applyBorder="1" applyAlignment="1">
      <alignment horizontal="center" vertical="center"/>
    </xf>
    <xf numFmtId="0" fontId="3" fillId="0" borderId="30" xfId="0" applyFont="1" applyFill="1" applyBorder="1" applyAlignment="1">
      <alignment horizontal="left" vertical="center"/>
    </xf>
    <xf numFmtId="0" fontId="3" fillId="0" borderId="44"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44" xfId="0" applyFont="1" applyFill="1" applyBorder="1" applyAlignment="1">
      <alignment horizontal="left" vertical="center" wrapText="1"/>
    </xf>
    <xf numFmtId="0" fontId="0" fillId="0" borderId="35"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0" fontId="3" fillId="0" borderId="27" xfId="0" applyFont="1" applyBorder="1" applyAlignment="1">
      <alignment horizontal="left" vertical="center"/>
    </xf>
    <xf numFmtId="0" fontId="3" fillId="0" borderId="41" xfId="0" applyFont="1" applyBorder="1" applyAlignment="1">
      <alignment horizontal="left" vertical="center"/>
    </xf>
    <xf numFmtId="0" fontId="0" fillId="0" borderId="27"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30" xfId="0" applyFont="1" applyBorder="1" applyAlignment="1">
      <alignment horizontal="left" vertical="center" wrapText="1"/>
    </xf>
    <xf numFmtId="0" fontId="3" fillId="0" borderId="44" xfId="0" applyFont="1" applyBorder="1" applyAlignment="1">
      <alignment horizontal="left" vertical="center" wrapText="1"/>
    </xf>
    <xf numFmtId="0" fontId="0" fillId="0" borderId="35" xfId="0" applyBorder="1" applyAlignment="1" applyProtection="1">
      <alignment horizontal="center" vertical="center" wrapText="1"/>
      <protection locked="0"/>
    </xf>
    <xf numFmtId="0" fontId="0" fillId="0" borderId="40" xfId="0" applyBorder="1" applyAlignment="1" applyProtection="1">
      <alignment horizontal="center" vertical="center" wrapText="1"/>
      <protection locked="0"/>
    </xf>
    <xf numFmtId="0" fontId="0" fillId="0" borderId="27" xfId="0" applyBorder="1" applyAlignment="1" applyProtection="1">
      <alignment horizontal="center" vertical="center" wrapText="1"/>
      <protection locked="0"/>
    </xf>
    <xf numFmtId="0" fontId="0" fillId="0" borderId="41" xfId="0" applyBorder="1" applyAlignment="1" applyProtection="1">
      <alignment horizontal="center" vertical="center" wrapText="1"/>
      <protection locked="0"/>
    </xf>
    <xf numFmtId="0" fontId="0" fillId="0" borderId="35"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0" xfId="0" applyFont="1" applyFill="1" applyAlignment="1" applyProtection="1">
      <alignment horizontal="center" vertical="center"/>
      <protection locked="0"/>
    </xf>
    <xf numFmtId="0" fontId="3" fillId="0" borderId="0" xfId="0" applyFont="1" applyFill="1" applyAlignment="1">
      <alignment horizontal="left" vertical="center"/>
    </xf>
    <xf numFmtId="0" fontId="3" fillId="0" borderId="45" xfId="0" applyFont="1" applyFill="1" applyBorder="1" applyAlignment="1">
      <alignment horizontal="left" vertical="center"/>
    </xf>
    <xf numFmtId="0" fontId="3" fillId="0" borderId="28" xfId="0" applyFont="1" applyFill="1" applyBorder="1" applyAlignment="1">
      <alignment horizontal="left" vertical="center"/>
    </xf>
    <xf numFmtId="0" fontId="3" fillId="0" borderId="64" xfId="0" applyFont="1" applyFill="1" applyBorder="1" applyAlignment="1">
      <alignment horizontal="center" vertical="center"/>
    </xf>
    <xf numFmtId="0" fontId="3" fillId="0" borderId="28" xfId="0" applyFont="1" applyFill="1" applyBorder="1" applyAlignment="1">
      <alignment horizontal="left" vertical="center" wrapText="1"/>
    </xf>
    <xf numFmtId="0" fontId="0" fillId="0" borderId="17" xfId="0" applyFont="1" applyFill="1" applyBorder="1" applyAlignment="1" applyProtection="1">
      <alignment horizontal="center" vertical="center"/>
      <protection locked="0"/>
    </xf>
    <xf numFmtId="0" fontId="3" fillId="0" borderId="48" xfId="0" applyFont="1" applyFill="1" applyBorder="1" applyAlignment="1">
      <alignment horizontal="left" vertical="center" wrapText="1"/>
    </xf>
    <xf numFmtId="0" fontId="3" fillId="0" borderId="35" xfId="0" applyFont="1" applyFill="1" applyBorder="1" applyAlignment="1">
      <alignment horizontal="left" vertical="center"/>
    </xf>
    <xf numFmtId="0" fontId="3" fillId="0" borderId="40" xfId="0" applyFont="1" applyFill="1" applyBorder="1" applyAlignment="1">
      <alignment horizontal="left" vertical="center"/>
    </xf>
    <xf numFmtId="0" fontId="0" fillId="0" borderId="33" xfId="0" applyFont="1" applyFill="1" applyBorder="1" applyAlignment="1" applyProtection="1">
      <alignment horizontal="center" vertical="center" wrapText="1"/>
      <protection locked="0"/>
    </xf>
    <xf numFmtId="0" fontId="3" fillId="0" borderId="29" xfId="0" applyFont="1" applyFill="1" applyBorder="1" applyAlignment="1">
      <alignment horizontal="left" vertical="center"/>
    </xf>
    <xf numFmtId="0" fontId="0" fillId="0" borderId="29" xfId="0" applyFont="1" applyFill="1" applyBorder="1" applyAlignment="1" applyProtection="1">
      <alignment horizontal="center" vertical="center" wrapText="1"/>
      <protection locked="0"/>
    </xf>
    <xf numFmtId="0" fontId="3" fillId="0" borderId="54" xfId="0" applyFont="1" applyFill="1" applyBorder="1" applyAlignment="1">
      <alignment vertical="top"/>
    </xf>
    <xf numFmtId="0" fontId="0" fillId="0" borderId="55" xfId="0" applyFont="1" applyFill="1" applyBorder="1" applyAlignment="1">
      <alignment vertical="top"/>
    </xf>
    <xf numFmtId="0" fontId="0" fillId="0" borderId="56" xfId="0" applyFont="1" applyFill="1" applyBorder="1" applyAlignment="1">
      <alignment vertical="top"/>
    </xf>
    <xf numFmtId="0" fontId="0" fillId="0" borderId="57" xfId="0" applyFont="1" applyFill="1" applyBorder="1" applyAlignment="1">
      <alignment vertical="top"/>
    </xf>
    <xf numFmtId="0" fontId="0" fillId="0" borderId="58" xfId="0" applyFont="1" applyFill="1" applyBorder="1" applyAlignment="1">
      <alignment vertical="top"/>
    </xf>
    <xf numFmtId="0" fontId="0" fillId="0" borderId="59" xfId="0" applyFont="1" applyFill="1" applyBorder="1" applyAlignment="1">
      <alignment vertical="top"/>
    </xf>
    <xf numFmtId="0" fontId="0" fillId="0" borderId="60" xfId="0" applyFont="1" applyFill="1" applyBorder="1" applyAlignment="1">
      <alignment vertical="top"/>
    </xf>
    <xf numFmtId="0" fontId="0" fillId="0" borderId="61" xfId="0" applyFont="1" applyFill="1" applyBorder="1" applyAlignment="1">
      <alignment vertical="top"/>
    </xf>
    <xf numFmtId="0" fontId="0" fillId="0" borderId="62" xfId="0" applyFont="1" applyFill="1" applyBorder="1" applyAlignment="1">
      <alignment vertical="top"/>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47" xfId="0" applyFont="1" applyFill="1" applyBorder="1" applyAlignment="1">
      <alignment horizontal="left" vertical="center"/>
    </xf>
    <xf numFmtId="0" fontId="3" fillId="0" borderId="60"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46"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4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48" xfId="0" applyFont="1" applyBorder="1" applyAlignment="1">
      <alignment horizontal="center" vertical="center" textRotation="255" shrinkToFit="1"/>
    </xf>
    <xf numFmtId="0" fontId="3" fillId="0" borderId="47"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8" xfId="0" applyFont="1" applyBorder="1" applyAlignment="1">
      <alignment horizontal="left" vertical="top"/>
    </xf>
    <xf numFmtId="0" fontId="3" fillId="0" borderId="49" xfId="0" applyFont="1"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7" xfId="0" applyBorder="1" applyAlignment="1">
      <alignment horizontal="left" vertical="top"/>
    </xf>
    <xf numFmtId="0" fontId="3" fillId="0" borderId="20" xfId="0" applyFont="1" applyBorder="1" applyAlignment="1">
      <alignment horizontal="center" wrapText="1"/>
    </xf>
    <xf numFmtId="0" fontId="3" fillId="0" borderId="51"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46"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46"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0" fillId="0" borderId="4" xfId="0"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35"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EA5C1DA8-1B92-4F06-BB11-8049E7B6B0CE}"/>
    <cellStyle name="パーセント 2 2" xfId="29" xr:uid="{CC22F04E-DC18-4501-AAB8-0F0BACC25CE1}"/>
    <cellStyle name="パーセント 2 2 2" xfId="30" xr:uid="{0E08BA99-6D9F-45E6-A165-E2D3660A2A76}"/>
    <cellStyle name="パーセント 2 2 2 3" xfId="31" xr:uid="{00156832-8331-4A84-B69D-2E343781ABD4}"/>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5102B954-F982-480F-BBAE-95AE8D40B0E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15ECC43F-0FF2-4A6D-B7A3-DA6B8EBA8819}"/>
    <cellStyle name="標準 2 2" xfId="47" xr:uid="{C4E15D9F-34AC-46E5-BA85-AB65EA4DF839}"/>
    <cellStyle name="標準 3" xfId="48" xr:uid="{98F0A2ED-9D23-478E-BA12-0BB70BBA910C}"/>
    <cellStyle name="標準 3 2" xfId="49" xr:uid="{70FE1EE9-14CA-4B84-88CB-70993758F4BC}"/>
    <cellStyle name="標準 3 2 2" xfId="50" xr:uid="{AC110950-3A40-436D-B6D2-D0D805204E5C}"/>
    <cellStyle name="標準 3 2 2 2" xfId="51" xr:uid="{7BC0E30E-ACAB-49F0-86DB-F74315ADCFA4}"/>
    <cellStyle name="良い" xfId="52" builtinId="26" customBuiltin="1"/>
  </cellStyles>
  <dxfs count="9">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k13sv01\FileSV\&#20581;&#24247;&#31119;&#31049;&#37096;\&#31119;&#31049;&#25351;&#23566;&#30435;&#26619;&#35506;\&#9734;&#31119;&#31049;&#25351;&#23566;&#30435;&#26619;&#35506;&#9734;\05%20&#25351;&#23450;&#23621;&#23429;&#12469;&#12540;&#12499;&#12473;&#31561;&#38306;&#20418;\17%20&#22577;&#37228;&#25913;&#23450;\R7_&#22577;&#37228;&#25913;&#23450;\070331%20&#38651;&#23376;&#30003;&#35531;&#23626;&#20986;&#12471;&#12473;&#12486;&#12512;&#12395;&#29992;&#12356;&#12427;&#20307;&#21046;&#34920;&#65288;&#30906;&#23450;&#29256;&#65289;&#12395;&#12388;&#12365;&#12414;&#12375;&#12390;\&#65288;&#20462;&#27491;&#29256;&#65289;&#20307;&#21046;&#31561;&#29366;&#27841;&#19968;&#35239;&#34920;20250328_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居宅"/>
      <sheetName val="居宅サテライト"/>
      <sheetName val="備考（1）"/>
      <sheetName val="予防"/>
      <sheetName val="予防サテライト"/>
      <sheetName val="備考（1－2）"/>
      <sheetName val="別紙１－３"/>
      <sheetName val="備考（1－3）"/>
      <sheetName val="別紙１－4"/>
      <sheetName val="別紙2"/>
      <sheetName val="別紙3"/>
      <sheetName val="別紙3－2"/>
      <sheetName val="別紙4"/>
      <sheetName val="別紙5"/>
      <sheetName val="別紙5－2"/>
      <sheetName val="別紙6"/>
      <sheetName val="別紙7"/>
      <sheetName val="別紙7－2"/>
      <sheetName val="別紙7－3"/>
      <sheetName val="別紙8"/>
      <sheetName val="別紙９"/>
      <sheetName val="別紙９ー２"/>
      <sheetName val="別紙9－3"/>
      <sheetName val="別紙10"/>
      <sheetName val="別紙11"/>
      <sheetName val="別紙12"/>
      <sheetName val="別紙12-2"/>
      <sheetName val="別紙１３"/>
      <sheetName val="別紙１４"/>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ー２"/>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AB7E1-D5BC-40FB-AE8E-0A6391A653A7}">
  <sheetPr>
    <pageSetUpPr fitToPage="1"/>
  </sheetPr>
  <dimension ref="A2:AL192"/>
  <sheetViews>
    <sheetView tabSelected="1" view="pageBreakPreview" zoomScale="70" zoomScaleNormal="75" zoomScaleSheetLayoutView="70" workbookViewId="0"/>
  </sheetViews>
  <sheetFormatPr defaultRowHeight="13.5" x14ac:dyDescent="0.15"/>
  <cols>
    <col min="1" max="2" width="4.25" style="92" customWidth="1"/>
    <col min="3" max="3" width="25" style="93" customWidth="1"/>
    <col min="4" max="4" width="4.875" style="93" customWidth="1"/>
    <col min="5" max="5" width="41.625" style="93" customWidth="1"/>
    <col min="6" max="6" width="4.875" style="93" customWidth="1"/>
    <col min="7" max="7" width="19.625" style="93" customWidth="1"/>
    <col min="8" max="8" width="33.875" style="93" customWidth="1"/>
    <col min="9" max="24" width="5.375" style="93" customWidth="1"/>
    <col min="25" max="32" width="4.875" style="93" customWidth="1"/>
    <col min="33" max="38" width="0" style="109" hidden="1" customWidth="1"/>
    <col min="39" max="16384" width="9" style="93"/>
  </cols>
  <sheetData>
    <row r="2" spans="1:38" ht="20.25" customHeight="1" x14ac:dyDescent="0.15">
      <c r="A2" s="107" t="s">
        <v>254</v>
      </c>
      <c r="B2" s="108"/>
    </row>
    <row r="3" spans="1:38" ht="21" customHeight="1" x14ac:dyDescent="0.15">
      <c r="A3" s="327" t="s">
        <v>26</v>
      </c>
      <c r="B3" s="327"/>
      <c r="C3" s="327"/>
      <c r="D3" s="327"/>
      <c r="E3" s="327"/>
      <c r="F3" s="327"/>
      <c r="G3" s="327"/>
      <c r="H3" s="327"/>
      <c r="I3" s="327"/>
      <c r="J3" s="327"/>
      <c r="K3" s="327"/>
      <c r="L3" s="327"/>
      <c r="M3" s="327"/>
      <c r="N3" s="327"/>
      <c r="O3" s="327"/>
      <c r="P3" s="327"/>
      <c r="Q3" s="327"/>
      <c r="R3" s="327"/>
      <c r="S3" s="327"/>
      <c r="T3" s="327"/>
      <c r="U3" s="327"/>
      <c r="V3" s="327"/>
      <c r="W3" s="327"/>
      <c r="X3" s="327"/>
      <c r="Y3" s="327"/>
      <c r="Z3" s="327"/>
      <c r="AA3" s="327"/>
      <c r="AB3" s="327"/>
      <c r="AC3" s="327"/>
      <c r="AD3" s="327"/>
      <c r="AE3" s="327"/>
      <c r="AF3" s="327"/>
    </row>
    <row r="4" spans="1:38" ht="20.25" customHeight="1" x14ac:dyDescent="0.15"/>
    <row r="5" spans="1:38" ht="27" customHeight="1" x14ac:dyDescent="0.15">
      <c r="I5" s="331" t="s">
        <v>257</v>
      </c>
      <c r="J5" s="331"/>
      <c r="K5" s="331"/>
      <c r="L5" s="331"/>
      <c r="M5" s="331"/>
      <c r="N5" s="331"/>
      <c r="O5" s="331"/>
      <c r="P5" s="331"/>
      <c r="Q5" s="331"/>
      <c r="R5" s="331"/>
      <c r="S5" s="331"/>
      <c r="T5" s="331"/>
      <c r="U5" s="331"/>
      <c r="V5" s="331"/>
      <c r="W5" s="331"/>
      <c r="X5" s="329" t="s">
        <v>82</v>
      </c>
      <c r="Y5" s="329"/>
      <c r="Z5" s="330"/>
      <c r="AA5" s="332" t="s">
        <v>258</v>
      </c>
      <c r="AB5" s="333"/>
      <c r="AC5" s="333"/>
      <c r="AD5" s="333"/>
      <c r="AE5" s="333"/>
      <c r="AF5" s="334"/>
      <c r="AG5" s="93"/>
      <c r="AH5" s="93"/>
      <c r="AI5" s="93"/>
      <c r="AJ5" s="93"/>
      <c r="AK5" s="93"/>
      <c r="AL5" s="93"/>
    </row>
    <row r="6" spans="1:38" ht="27.75" customHeight="1" x14ac:dyDescent="0.15">
      <c r="I6" s="331" t="s">
        <v>20</v>
      </c>
      <c r="J6" s="331"/>
      <c r="K6" s="331"/>
      <c r="L6" s="331"/>
      <c r="M6" s="331"/>
      <c r="N6" s="335" t="s">
        <v>259</v>
      </c>
      <c r="O6" s="335"/>
      <c r="P6" s="335"/>
      <c r="Q6" s="335"/>
      <c r="R6" s="335"/>
      <c r="S6" s="335"/>
      <c r="T6" s="335"/>
      <c r="U6" s="335"/>
      <c r="V6" s="335"/>
      <c r="W6" s="335"/>
      <c r="X6" s="331" t="s">
        <v>260</v>
      </c>
      <c r="Y6" s="331"/>
      <c r="Z6" s="331"/>
      <c r="AA6" s="111"/>
      <c r="AB6" s="112" t="s">
        <v>35</v>
      </c>
      <c r="AC6" s="112"/>
      <c r="AD6" s="112" t="s">
        <v>252</v>
      </c>
      <c r="AE6" s="112"/>
      <c r="AF6" s="113" t="s">
        <v>253</v>
      </c>
      <c r="AG6" s="93"/>
      <c r="AH6" s="93"/>
      <c r="AI6" s="93"/>
      <c r="AJ6" s="93"/>
      <c r="AK6" s="93"/>
      <c r="AL6" s="93"/>
    </row>
    <row r="7" spans="1:38" ht="20.25" customHeight="1" x14ac:dyDescent="0.15"/>
    <row r="8" spans="1:38" ht="17.25" customHeight="1" x14ac:dyDescent="0.15">
      <c r="A8" s="328" t="s">
        <v>134</v>
      </c>
      <c r="B8" s="329"/>
      <c r="C8" s="330"/>
      <c r="D8" s="328" t="s">
        <v>1</v>
      </c>
      <c r="E8" s="330"/>
      <c r="F8" s="328" t="s">
        <v>84</v>
      </c>
      <c r="G8" s="330"/>
      <c r="H8" s="328" t="s">
        <v>120</v>
      </c>
      <c r="I8" s="329"/>
      <c r="J8" s="329"/>
      <c r="K8" s="329"/>
      <c r="L8" s="329"/>
      <c r="M8" s="329"/>
      <c r="N8" s="329"/>
      <c r="O8" s="329"/>
      <c r="P8" s="329"/>
      <c r="Q8" s="329"/>
      <c r="R8" s="329"/>
      <c r="S8" s="329"/>
      <c r="T8" s="329"/>
      <c r="U8" s="329"/>
      <c r="V8" s="329"/>
      <c r="W8" s="329"/>
      <c r="X8" s="330"/>
      <c r="Y8" s="328" t="s">
        <v>140</v>
      </c>
      <c r="Z8" s="329"/>
      <c r="AA8" s="329"/>
      <c r="AB8" s="330"/>
      <c r="AC8" s="328" t="s">
        <v>85</v>
      </c>
      <c r="AD8" s="329"/>
      <c r="AE8" s="329"/>
      <c r="AF8" s="330"/>
    </row>
    <row r="9" spans="1:38" ht="18.75" customHeight="1" x14ac:dyDescent="0.15">
      <c r="A9" s="336" t="s">
        <v>86</v>
      </c>
      <c r="B9" s="337"/>
      <c r="C9" s="338"/>
      <c r="D9" s="336"/>
      <c r="E9" s="338"/>
      <c r="F9" s="336"/>
      <c r="G9" s="338"/>
      <c r="H9" s="342" t="s">
        <v>87</v>
      </c>
      <c r="I9" s="114" t="s">
        <v>196</v>
      </c>
      <c r="J9" s="115" t="s">
        <v>144</v>
      </c>
      <c r="K9" s="116"/>
      <c r="L9" s="116"/>
      <c r="M9" s="114" t="s">
        <v>196</v>
      </c>
      <c r="N9" s="115" t="s">
        <v>145</v>
      </c>
      <c r="O9" s="116"/>
      <c r="P9" s="116"/>
      <c r="Q9" s="114" t="s">
        <v>196</v>
      </c>
      <c r="R9" s="115" t="s">
        <v>146</v>
      </c>
      <c r="S9" s="116"/>
      <c r="T9" s="116"/>
      <c r="U9" s="114" t="s">
        <v>196</v>
      </c>
      <c r="V9" s="115" t="s">
        <v>147</v>
      </c>
      <c r="W9" s="116"/>
      <c r="X9" s="117"/>
      <c r="Y9" s="321"/>
      <c r="Z9" s="322"/>
      <c r="AA9" s="322"/>
      <c r="AB9" s="323"/>
      <c r="AC9" s="321"/>
      <c r="AD9" s="322"/>
      <c r="AE9" s="322"/>
      <c r="AF9" s="323"/>
      <c r="AG9" s="109" t="str">
        <f>"tiikikbn_code:"&amp; IF(I9="■",1,IF(M9="■",6,IF(Q9="■",7,IF(U9="■",2,IF(I10="■",3,IF(M10="■",4,IF(Q10="■",9,IF(U10="■",5,0))))))))</f>
        <v>tiikikbn_code:0</v>
      </c>
    </row>
    <row r="10" spans="1:38" ht="18.75" customHeight="1" x14ac:dyDescent="0.15">
      <c r="A10" s="339"/>
      <c r="B10" s="340"/>
      <c r="C10" s="341"/>
      <c r="D10" s="339"/>
      <c r="E10" s="341"/>
      <c r="F10" s="339"/>
      <c r="G10" s="341"/>
      <c r="H10" s="343"/>
      <c r="I10" s="120" t="s">
        <v>196</v>
      </c>
      <c r="J10" s="94" t="s">
        <v>148</v>
      </c>
      <c r="K10" s="121"/>
      <c r="L10" s="121"/>
      <c r="M10" s="114" t="s">
        <v>196</v>
      </c>
      <c r="N10" s="94" t="s">
        <v>149</v>
      </c>
      <c r="O10" s="121"/>
      <c r="P10" s="121"/>
      <c r="Q10" s="114" t="s">
        <v>196</v>
      </c>
      <c r="R10" s="94" t="s">
        <v>150</v>
      </c>
      <c r="S10" s="121"/>
      <c r="T10" s="121"/>
      <c r="U10" s="114" t="s">
        <v>196</v>
      </c>
      <c r="V10" s="94" t="s">
        <v>151</v>
      </c>
      <c r="W10" s="121"/>
      <c r="X10" s="101"/>
      <c r="Y10" s="324"/>
      <c r="Z10" s="325"/>
      <c r="AA10" s="325"/>
      <c r="AB10" s="326"/>
      <c r="AC10" s="324"/>
      <c r="AD10" s="325"/>
      <c r="AE10" s="325"/>
      <c r="AF10" s="326"/>
    </row>
    <row r="11" spans="1:38" s="109" customFormat="1" ht="18.75" customHeight="1" x14ac:dyDescent="0.15">
      <c r="A11" s="122"/>
      <c r="B11" s="123"/>
      <c r="C11" s="221"/>
      <c r="D11" s="222"/>
      <c r="E11" s="117"/>
      <c r="F11" s="126"/>
      <c r="G11" s="117"/>
      <c r="H11" s="193" t="s">
        <v>92</v>
      </c>
      <c r="I11" s="167" t="s">
        <v>196</v>
      </c>
      <c r="J11" s="168" t="s">
        <v>179</v>
      </c>
      <c r="K11" s="169"/>
      <c r="L11" s="170"/>
      <c r="M11" s="171" t="s">
        <v>196</v>
      </c>
      <c r="N11" s="168" t="s">
        <v>180</v>
      </c>
      <c r="O11" s="172"/>
      <c r="P11" s="169"/>
      <c r="Q11" s="169"/>
      <c r="R11" s="169"/>
      <c r="S11" s="169"/>
      <c r="T11" s="169"/>
      <c r="U11" s="169"/>
      <c r="V11" s="169"/>
      <c r="W11" s="169"/>
      <c r="X11" s="223"/>
      <c r="Y11" s="129" t="s">
        <v>196</v>
      </c>
      <c r="Z11" s="115" t="s">
        <v>152</v>
      </c>
      <c r="AA11" s="115"/>
      <c r="AB11" s="128"/>
      <c r="AC11" s="346"/>
      <c r="AD11" s="346"/>
      <c r="AE11" s="346"/>
      <c r="AF11" s="346"/>
      <c r="AG11" s="109" t="str">
        <f>"ser_code = '" &amp; IF(A26="■",52,"") &amp; "'"</f>
        <v>ser_code = ''</v>
      </c>
      <c r="AH11" s="109" t="str">
        <f>"52:jininkbn_code:" &amp; IF(F26="■",1,IF(F27="■",2,0))</f>
        <v>52:jininkbn_code:0</v>
      </c>
      <c r="AI11" s="109" t="str">
        <f>"52:yakan_kinmu_code:" &amp; IF(I11="■",1,IF(M11="■",6,0))</f>
        <v>52:yakan_kinmu_code:0</v>
      </c>
      <c r="AJ11" s="109" t="str">
        <f>"52:field203:" &amp; IF(Y11="■",1,IF(Y12="■",2,0))</f>
        <v>52:field203:0</v>
      </c>
    </row>
    <row r="12" spans="1:38" s="109" customFormat="1" ht="18.75" customHeight="1" x14ac:dyDescent="0.15">
      <c r="A12" s="97"/>
      <c r="B12" s="98"/>
      <c r="C12" s="210"/>
      <c r="D12" s="211"/>
      <c r="E12" s="101"/>
      <c r="F12" s="102"/>
      <c r="G12" s="101"/>
      <c r="H12" s="349" t="s">
        <v>89</v>
      </c>
      <c r="I12" s="175" t="s">
        <v>196</v>
      </c>
      <c r="J12" s="147" t="s">
        <v>153</v>
      </c>
      <c r="K12" s="147"/>
      <c r="L12" s="179"/>
      <c r="M12" s="176" t="s">
        <v>196</v>
      </c>
      <c r="N12" s="147" t="s">
        <v>168</v>
      </c>
      <c r="O12" s="147"/>
      <c r="P12" s="179"/>
      <c r="Q12" s="176" t="s">
        <v>196</v>
      </c>
      <c r="R12" s="179" t="s">
        <v>169</v>
      </c>
      <c r="S12" s="179"/>
      <c r="T12" s="179"/>
      <c r="U12" s="176" t="s">
        <v>196</v>
      </c>
      <c r="V12" s="179" t="s">
        <v>170</v>
      </c>
      <c r="W12" s="179"/>
      <c r="X12" s="180"/>
      <c r="Y12" s="120" t="s">
        <v>196</v>
      </c>
      <c r="Z12" s="94" t="s">
        <v>156</v>
      </c>
      <c r="AA12" s="95"/>
      <c r="AB12" s="96"/>
      <c r="AC12" s="347"/>
      <c r="AD12" s="347"/>
      <c r="AE12" s="347"/>
      <c r="AF12" s="347"/>
      <c r="AG12" s="109" t="str">
        <f>"52:sisetukbn_code:" &amp; IF(D26="■",1,0)</f>
        <v>52:sisetukbn_code:0</v>
      </c>
      <c r="AI12" s="109" t="str">
        <f>"52:"&amp;IF(AND(I12="□",M12="□",Q12="□",U12="□",I13="□",M13="□",Q13="□",I14="□"),"ketu_doctor_code:0",IF(I12="■","ketu_doctor_code:1:ketu_kangos_code:1:ketu_kshoku_code:1:ketu_rryoho_code:1:ketu_sryoho_code:1:ketu_ksiensou_code:1:ketu_gengo_code:1",IF(M12="■","ketu_doctor_code:2","ketu_doctor_code:1")
&amp;IF(Q12="■",":ketu_kangos_code:2",":ketu_kangos_code:1")
&amp;IF(U12="■",":ketu_kshoku_code:2",":ketu_kshoku_code:1")
&amp;IF(I13="■",":ketu_rryoho_code:2",":ketu_rryoho_code:1")
&amp;IF(M13="■",":ketu_sryoho_code:2",":ketu_sryoho_code:1")
&amp;IF(Q13="■",":ketu_ksiensou_code:2",":ketu_ksiensou_code:1")
&amp;IF(I14="■",":ketu_gengo_code:2",":ketu_gengo_code:1")))</f>
        <v>52:ketu_doctor_code:0</v>
      </c>
    </row>
    <row r="13" spans="1:38" s="109" customFormat="1" ht="18.75" customHeight="1" x14ac:dyDescent="0.15">
      <c r="A13" s="97"/>
      <c r="B13" s="98"/>
      <c r="C13" s="210"/>
      <c r="D13" s="211"/>
      <c r="E13" s="101"/>
      <c r="F13" s="102"/>
      <c r="G13" s="101"/>
      <c r="H13" s="343"/>
      <c r="I13" s="120" t="s">
        <v>196</v>
      </c>
      <c r="J13" s="94" t="s">
        <v>171</v>
      </c>
      <c r="K13" s="94"/>
      <c r="L13" s="93"/>
      <c r="M13" s="114" t="s">
        <v>196</v>
      </c>
      <c r="N13" s="94" t="s">
        <v>172</v>
      </c>
      <c r="O13" s="94"/>
      <c r="P13" s="93"/>
      <c r="Q13" s="114" t="s">
        <v>196</v>
      </c>
      <c r="R13" s="93" t="s">
        <v>199</v>
      </c>
      <c r="S13" s="93"/>
      <c r="T13" s="93"/>
      <c r="U13" s="93"/>
      <c r="V13" s="93"/>
      <c r="W13" s="93"/>
      <c r="X13" s="153"/>
      <c r="Y13" s="134"/>
      <c r="Z13" s="95"/>
      <c r="AA13" s="95"/>
      <c r="AB13" s="96"/>
      <c r="AC13" s="347"/>
      <c r="AD13" s="347"/>
      <c r="AE13" s="347"/>
      <c r="AF13" s="347"/>
    </row>
    <row r="14" spans="1:38" s="109" customFormat="1" ht="18.75" customHeight="1" x14ac:dyDescent="0.15">
      <c r="A14" s="97"/>
      <c r="B14" s="98"/>
      <c r="C14" s="210"/>
      <c r="D14" s="211"/>
      <c r="E14" s="101"/>
      <c r="F14" s="102"/>
      <c r="G14" s="101"/>
      <c r="H14" s="350"/>
      <c r="I14" s="130" t="s">
        <v>196</v>
      </c>
      <c r="J14" s="105" t="s">
        <v>200</v>
      </c>
      <c r="K14" s="105"/>
      <c r="L14" s="131"/>
      <c r="M14" s="105"/>
      <c r="N14" s="105"/>
      <c r="O14" s="105"/>
      <c r="P14" s="131"/>
      <c r="Q14" s="105"/>
      <c r="R14" s="131"/>
      <c r="S14" s="131"/>
      <c r="T14" s="131"/>
      <c r="U14" s="131"/>
      <c r="V14" s="131"/>
      <c r="W14" s="131"/>
      <c r="X14" s="198"/>
      <c r="Y14" s="134"/>
      <c r="Z14" s="95"/>
      <c r="AA14" s="95"/>
      <c r="AB14" s="96"/>
      <c r="AC14" s="347"/>
      <c r="AD14" s="347"/>
      <c r="AE14" s="347"/>
      <c r="AF14" s="347"/>
    </row>
    <row r="15" spans="1:38" s="109" customFormat="1" ht="18.75" customHeight="1" x14ac:dyDescent="0.15">
      <c r="A15" s="97"/>
      <c r="B15" s="98"/>
      <c r="C15" s="210"/>
      <c r="D15" s="211"/>
      <c r="E15" s="101"/>
      <c r="F15" s="102"/>
      <c r="G15" s="101"/>
      <c r="H15" s="200" t="s">
        <v>93</v>
      </c>
      <c r="I15" s="135" t="s">
        <v>196</v>
      </c>
      <c r="J15" s="136" t="s">
        <v>159</v>
      </c>
      <c r="K15" s="137"/>
      <c r="L15" s="138"/>
      <c r="M15" s="139" t="s">
        <v>196</v>
      </c>
      <c r="N15" s="136" t="s">
        <v>160</v>
      </c>
      <c r="O15" s="137"/>
      <c r="P15" s="137"/>
      <c r="Q15" s="137"/>
      <c r="R15" s="137"/>
      <c r="S15" s="137"/>
      <c r="T15" s="137"/>
      <c r="U15" s="137"/>
      <c r="V15" s="137"/>
      <c r="W15" s="137"/>
      <c r="X15" s="145"/>
      <c r="Y15" s="134"/>
      <c r="Z15" s="95"/>
      <c r="AA15" s="95"/>
      <c r="AB15" s="96"/>
      <c r="AC15" s="347"/>
      <c r="AD15" s="347"/>
      <c r="AE15" s="347"/>
      <c r="AF15" s="347"/>
      <c r="AI15" s="109" t="str">
        <f>"52:unitcare_code:" &amp; IF(I15="■",1,IF(M15="■",2,0))</f>
        <v>52:unitcare_code:0</v>
      </c>
    </row>
    <row r="16" spans="1:38" s="109" customFormat="1" ht="18.75" customHeight="1" x14ac:dyDescent="0.15">
      <c r="A16" s="97"/>
      <c r="B16" s="98"/>
      <c r="C16" s="210"/>
      <c r="D16" s="211"/>
      <c r="E16" s="101"/>
      <c r="F16" s="102"/>
      <c r="G16" s="101"/>
      <c r="H16" s="200" t="s">
        <v>96</v>
      </c>
      <c r="I16" s="135" t="s">
        <v>196</v>
      </c>
      <c r="J16" s="136" t="s">
        <v>197</v>
      </c>
      <c r="K16" s="137"/>
      <c r="L16" s="138"/>
      <c r="M16" s="139" t="s">
        <v>196</v>
      </c>
      <c r="N16" s="136" t="s">
        <v>198</v>
      </c>
      <c r="O16" s="137"/>
      <c r="P16" s="137"/>
      <c r="Q16" s="137"/>
      <c r="R16" s="137"/>
      <c r="S16" s="137"/>
      <c r="T16" s="137"/>
      <c r="U16" s="137"/>
      <c r="V16" s="137"/>
      <c r="W16" s="137"/>
      <c r="X16" s="145"/>
      <c r="Y16" s="134"/>
      <c r="Z16" s="95"/>
      <c r="AA16" s="95"/>
      <c r="AB16" s="96"/>
      <c r="AC16" s="347"/>
      <c r="AD16" s="347"/>
      <c r="AE16" s="347"/>
      <c r="AF16" s="347"/>
      <c r="AI16" s="109" t="str">
        <f>"52:sintaikousoku_code:" &amp; IF(I16="■",1,IF(M16="■",2,0))</f>
        <v>52:sintaikousoku_code:0</v>
      </c>
    </row>
    <row r="17" spans="1:38" s="109" customFormat="1" ht="18.75" customHeight="1" x14ac:dyDescent="0.15">
      <c r="A17" s="97"/>
      <c r="B17" s="98"/>
      <c r="C17" s="210"/>
      <c r="D17" s="211"/>
      <c r="E17" s="101"/>
      <c r="F17" s="102"/>
      <c r="G17" s="101"/>
      <c r="H17" s="200" t="s">
        <v>130</v>
      </c>
      <c r="I17" s="135" t="s">
        <v>196</v>
      </c>
      <c r="J17" s="136" t="s">
        <v>197</v>
      </c>
      <c r="K17" s="137"/>
      <c r="L17" s="138"/>
      <c r="M17" s="139" t="s">
        <v>196</v>
      </c>
      <c r="N17" s="136" t="s">
        <v>198</v>
      </c>
      <c r="O17" s="137"/>
      <c r="P17" s="137"/>
      <c r="Q17" s="137"/>
      <c r="R17" s="137"/>
      <c r="S17" s="137"/>
      <c r="T17" s="137"/>
      <c r="U17" s="137"/>
      <c r="V17" s="137"/>
      <c r="W17" s="137"/>
      <c r="X17" s="145"/>
      <c r="Y17" s="134"/>
      <c r="Z17" s="95"/>
      <c r="AA17" s="95"/>
      <c r="AB17" s="96"/>
      <c r="AC17" s="347"/>
      <c r="AD17" s="347"/>
      <c r="AE17" s="347"/>
      <c r="AF17" s="347"/>
      <c r="AI17" s="109" t="str">
        <f>"52:field208:" &amp; IF(I17="■",1,IF(M17="■",2,0))</f>
        <v>52:field208:0</v>
      </c>
    </row>
    <row r="18" spans="1:38" s="109" customFormat="1" ht="19.5" customHeight="1" x14ac:dyDescent="0.15">
      <c r="A18" s="97"/>
      <c r="B18" s="98"/>
      <c r="C18" s="99"/>
      <c r="D18" s="100"/>
      <c r="E18" s="101"/>
      <c r="F18" s="102"/>
      <c r="G18" s="103"/>
      <c r="H18" s="104" t="s">
        <v>215</v>
      </c>
      <c r="I18" s="135" t="s">
        <v>196</v>
      </c>
      <c r="J18" s="136" t="s">
        <v>197</v>
      </c>
      <c r="K18" s="137"/>
      <c r="L18" s="138"/>
      <c r="M18" s="139" t="s">
        <v>196</v>
      </c>
      <c r="N18" s="136" t="s">
        <v>216</v>
      </c>
      <c r="O18" s="140"/>
      <c r="P18" s="136"/>
      <c r="Q18" s="141"/>
      <c r="R18" s="141"/>
      <c r="S18" s="141"/>
      <c r="T18" s="141"/>
      <c r="U18" s="141"/>
      <c r="V18" s="141"/>
      <c r="W18" s="141"/>
      <c r="X18" s="142"/>
      <c r="Y18" s="95"/>
      <c r="Z18" s="95"/>
      <c r="AA18" s="95"/>
      <c r="AB18" s="96"/>
      <c r="AC18" s="347"/>
      <c r="AD18" s="347"/>
      <c r="AE18" s="347"/>
      <c r="AF18" s="347"/>
      <c r="AI18" s="109" t="str">
        <f>"52:field223:" &amp; IF(I18="■",1,IF(M18="■",2,0))</f>
        <v>52:field223:0</v>
      </c>
    </row>
    <row r="19" spans="1:38" s="109" customFormat="1" ht="19.5" customHeight="1" x14ac:dyDescent="0.15">
      <c r="A19" s="97"/>
      <c r="B19" s="98"/>
      <c r="C19" s="99"/>
      <c r="D19" s="100"/>
      <c r="E19" s="101"/>
      <c r="F19" s="102"/>
      <c r="G19" s="103"/>
      <c r="H19" s="104" t="s">
        <v>226</v>
      </c>
      <c r="I19" s="135" t="s">
        <v>196</v>
      </c>
      <c r="J19" s="136" t="s">
        <v>197</v>
      </c>
      <c r="K19" s="137"/>
      <c r="L19" s="138"/>
      <c r="M19" s="139" t="s">
        <v>196</v>
      </c>
      <c r="N19" s="136" t="s">
        <v>216</v>
      </c>
      <c r="O19" s="140"/>
      <c r="P19" s="136"/>
      <c r="Q19" s="141"/>
      <c r="R19" s="141"/>
      <c r="S19" s="141"/>
      <c r="T19" s="141"/>
      <c r="U19" s="141"/>
      <c r="V19" s="141"/>
      <c r="W19" s="141"/>
      <c r="X19" s="142"/>
      <c r="Y19" s="95"/>
      <c r="Z19" s="95"/>
      <c r="AA19" s="95"/>
      <c r="AB19" s="96"/>
      <c r="AC19" s="347"/>
      <c r="AD19" s="347"/>
      <c r="AE19" s="347"/>
      <c r="AF19" s="347"/>
      <c r="AI19" s="109" t="str">
        <f>"52:field232:" &amp; IF(I19="■",1,IF(M19="■",2,0))</f>
        <v>52:field232:0</v>
      </c>
    </row>
    <row r="20" spans="1:38" s="109" customFormat="1" ht="37.5" customHeight="1" x14ac:dyDescent="0.15">
      <c r="A20" s="97"/>
      <c r="B20" s="98"/>
      <c r="C20" s="210"/>
      <c r="D20" s="211"/>
      <c r="E20" s="101"/>
      <c r="F20" s="102"/>
      <c r="G20" s="101"/>
      <c r="H20" s="143" t="s">
        <v>131</v>
      </c>
      <c r="I20" s="130" t="s">
        <v>196</v>
      </c>
      <c r="J20" s="105" t="s">
        <v>153</v>
      </c>
      <c r="K20" s="154"/>
      <c r="L20" s="174" t="s">
        <v>196</v>
      </c>
      <c r="M20" s="105" t="s">
        <v>161</v>
      </c>
      <c r="N20" s="137"/>
      <c r="O20" s="136"/>
      <c r="P20" s="136"/>
      <c r="Q20" s="136"/>
      <c r="R20" s="136"/>
      <c r="S20" s="136"/>
      <c r="T20" s="136"/>
      <c r="U20" s="136"/>
      <c r="V20" s="136"/>
      <c r="W20" s="136"/>
      <c r="X20" s="144"/>
      <c r="Y20" s="134"/>
      <c r="Z20" s="95"/>
      <c r="AA20" s="95"/>
      <c r="AB20" s="96"/>
      <c r="AC20" s="347"/>
      <c r="AD20" s="347"/>
      <c r="AE20" s="347"/>
      <c r="AF20" s="347"/>
      <c r="AI20" s="109" t="str">
        <f>"52:field206:" &amp; IF(I20="■",1,IF(L20="■",2,0))</f>
        <v>52:field206:0</v>
      </c>
    </row>
    <row r="21" spans="1:38" ht="19.5" customHeight="1" x14ac:dyDescent="0.15">
      <c r="A21" s="97"/>
      <c r="B21" s="98"/>
      <c r="C21" s="99"/>
      <c r="D21" s="100"/>
      <c r="E21" s="101"/>
      <c r="F21" s="102"/>
      <c r="G21" s="103"/>
      <c r="H21" s="104" t="s">
        <v>251</v>
      </c>
      <c r="I21" s="135" t="s">
        <v>196</v>
      </c>
      <c r="J21" s="105" t="s">
        <v>249</v>
      </c>
      <c r="K21" s="154"/>
      <c r="L21" s="106"/>
      <c r="M21" s="139" t="s">
        <v>196</v>
      </c>
      <c r="N21" s="105" t="s">
        <v>250</v>
      </c>
      <c r="O21" s="208"/>
      <c r="P21" s="105"/>
      <c r="Q21" s="132"/>
      <c r="R21" s="132"/>
      <c r="S21" s="132"/>
      <c r="T21" s="132"/>
      <c r="U21" s="132"/>
      <c r="V21" s="132"/>
      <c r="W21" s="132"/>
      <c r="X21" s="133"/>
      <c r="Y21" s="150"/>
      <c r="Z21" s="94"/>
      <c r="AA21" s="95"/>
      <c r="AB21" s="96"/>
      <c r="AC21" s="347"/>
      <c r="AD21" s="347"/>
      <c r="AE21" s="347"/>
      <c r="AF21" s="347"/>
      <c r="AG21" s="93"/>
      <c r="AH21" s="93"/>
      <c r="AI21" s="109" t="str">
        <f>"52:field242:" &amp; IF(I21="■",1,IF(M21="■",2,0))</f>
        <v>52:field242:0</v>
      </c>
      <c r="AJ21" s="93"/>
      <c r="AK21" s="93"/>
      <c r="AL21" s="93"/>
    </row>
    <row r="22" spans="1:38" s="109" customFormat="1" ht="18.75" customHeight="1" x14ac:dyDescent="0.15">
      <c r="A22" s="97"/>
      <c r="B22" s="98"/>
      <c r="C22" s="210"/>
      <c r="D22" s="211"/>
      <c r="E22" s="101"/>
      <c r="F22" s="102"/>
      <c r="G22" s="101"/>
      <c r="H22" s="200" t="s">
        <v>98</v>
      </c>
      <c r="I22" s="130" t="s">
        <v>196</v>
      </c>
      <c r="J22" s="105" t="s">
        <v>153</v>
      </c>
      <c r="K22" s="154"/>
      <c r="L22" s="174" t="s">
        <v>196</v>
      </c>
      <c r="M22" s="105" t="s">
        <v>161</v>
      </c>
      <c r="N22" s="137"/>
      <c r="O22" s="136"/>
      <c r="P22" s="136"/>
      <c r="Q22" s="136"/>
      <c r="R22" s="136"/>
      <c r="S22" s="136"/>
      <c r="T22" s="136"/>
      <c r="U22" s="136"/>
      <c r="V22" s="136"/>
      <c r="W22" s="136"/>
      <c r="X22" s="144"/>
      <c r="Y22" s="134"/>
      <c r="Z22" s="95"/>
      <c r="AA22" s="95"/>
      <c r="AB22" s="96"/>
      <c r="AC22" s="347"/>
      <c r="AD22" s="347"/>
      <c r="AE22" s="347"/>
      <c r="AF22" s="347"/>
      <c r="AI22" s="109" t="str">
        <f>"52:yakinhaiti_code:" &amp; IF(I22="■",1,IF(L22="■",2,0))</f>
        <v>52:yakinhaiti_code:0</v>
      </c>
    </row>
    <row r="23" spans="1:38" s="109" customFormat="1" ht="18.75" customHeight="1" x14ac:dyDescent="0.15">
      <c r="A23" s="97"/>
      <c r="B23" s="98"/>
      <c r="C23" s="210"/>
      <c r="D23" s="211"/>
      <c r="E23" s="101"/>
      <c r="F23" s="102"/>
      <c r="G23" s="101"/>
      <c r="H23" s="200" t="s">
        <v>113</v>
      </c>
      <c r="I23" s="130" t="s">
        <v>196</v>
      </c>
      <c r="J23" s="105" t="s">
        <v>153</v>
      </c>
      <c r="K23" s="154"/>
      <c r="L23" s="174" t="s">
        <v>196</v>
      </c>
      <c r="M23" s="105" t="s">
        <v>161</v>
      </c>
      <c r="N23" s="137"/>
      <c r="O23" s="136"/>
      <c r="P23" s="136"/>
      <c r="Q23" s="136"/>
      <c r="R23" s="136"/>
      <c r="S23" s="136"/>
      <c r="T23" s="136"/>
      <c r="U23" s="136"/>
      <c r="V23" s="136"/>
      <c r="W23" s="136"/>
      <c r="X23" s="144"/>
      <c r="Y23" s="134"/>
      <c r="Z23" s="95"/>
      <c r="AA23" s="95"/>
      <c r="AB23" s="96"/>
      <c r="AC23" s="347"/>
      <c r="AD23" s="347"/>
      <c r="AE23" s="347"/>
      <c r="AF23" s="347"/>
      <c r="AI23" s="109" t="str">
        <f>"52:ninti_riha_code:" &amp; IF(I23="■",1,IF(L23="■",2,0))</f>
        <v>52:ninti_riha_code:0</v>
      </c>
    </row>
    <row r="24" spans="1:38" s="109" customFormat="1" ht="18.75" customHeight="1" x14ac:dyDescent="0.15">
      <c r="A24" s="97"/>
      <c r="B24" s="98"/>
      <c r="C24" s="210"/>
      <c r="D24" s="211"/>
      <c r="E24" s="101"/>
      <c r="F24" s="102"/>
      <c r="G24" s="101"/>
      <c r="H24" s="200" t="s">
        <v>94</v>
      </c>
      <c r="I24" s="130" t="s">
        <v>196</v>
      </c>
      <c r="J24" s="105" t="s">
        <v>153</v>
      </c>
      <c r="K24" s="154"/>
      <c r="L24" s="174" t="s">
        <v>196</v>
      </c>
      <c r="M24" s="105" t="s">
        <v>161</v>
      </c>
      <c r="N24" s="137"/>
      <c r="O24" s="137"/>
      <c r="P24" s="137"/>
      <c r="Q24" s="137"/>
      <c r="R24" s="137"/>
      <c r="S24" s="137"/>
      <c r="T24" s="137"/>
      <c r="U24" s="137"/>
      <c r="V24" s="137"/>
      <c r="W24" s="137"/>
      <c r="X24" s="145"/>
      <c r="Y24" s="134"/>
      <c r="Z24" s="95"/>
      <c r="AA24" s="95"/>
      <c r="AB24" s="96"/>
      <c r="AC24" s="347"/>
      <c r="AD24" s="347"/>
      <c r="AE24" s="347"/>
      <c r="AF24" s="347"/>
      <c r="AI24" s="109" t="str">
        <f>"52:ninticare_code:" &amp; IF(I24="■",1,IF(L24="■",2,0))</f>
        <v>52:ninticare_code:0</v>
      </c>
    </row>
    <row r="25" spans="1:38" s="109" customFormat="1" ht="18.75" customHeight="1" x14ac:dyDescent="0.15">
      <c r="A25" s="97"/>
      <c r="B25" s="98"/>
      <c r="C25" s="210"/>
      <c r="D25" s="211"/>
      <c r="E25" s="101"/>
      <c r="F25" s="102"/>
      <c r="G25" s="101"/>
      <c r="H25" s="205" t="s">
        <v>114</v>
      </c>
      <c r="I25" s="130" t="s">
        <v>196</v>
      </c>
      <c r="J25" s="105" t="s">
        <v>153</v>
      </c>
      <c r="K25" s="154"/>
      <c r="L25" s="174" t="s">
        <v>196</v>
      </c>
      <c r="M25" s="105" t="s">
        <v>161</v>
      </c>
      <c r="N25" s="137"/>
      <c r="O25" s="137"/>
      <c r="P25" s="137"/>
      <c r="Q25" s="137"/>
      <c r="R25" s="137"/>
      <c r="S25" s="137"/>
      <c r="T25" s="137"/>
      <c r="U25" s="137"/>
      <c r="V25" s="137"/>
      <c r="W25" s="137"/>
      <c r="X25" s="145"/>
      <c r="Y25" s="134"/>
      <c r="Z25" s="95"/>
      <c r="AA25" s="95"/>
      <c r="AB25" s="96"/>
      <c r="AC25" s="347"/>
      <c r="AD25" s="347"/>
      <c r="AE25" s="347"/>
      <c r="AF25" s="347"/>
      <c r="AI25" s="109" t="str">
        <f>"52:jyakuninti_uke_code:" &amp; IF(I25="■",1,IF(L25="■",2,0))</f>
        <v>52:jyakuninti_uke_code:0</v>
      </c>
    </row>
    <row r="26" spans="1:38" s="109" customFormat="1" ht="18.75" customHeight="1" x14ac:dyDescent="0.15">
      <c r="A26" s="120" t="s">
        <v>196</v>
      </c>
      <c r="B26" s="98">
        <v>52</v>
      </c>
      <c r="C26" s="210" t="s">
        <v>126</v>
      </c>
      <c r="D26" s="120" t="s">
        <v>196</v>
      </c>
      <c r="E26" s="101" t="s">
        <v>201</v>
      </c>
      <c r="F26" s="120" t="s">
        <v>196</v>
      </c>
      <c r="G26" s="101" t="s">
        <v>181</v>
      </c>
      <c r="H26" s="205" t="s">
        <v>136</v>
      </c>
      <c r="I26" s="135" t="s">
        <v>196</v>
      </c>
      <c r="J26" s="136" t="s">
        <v>153</v>
      </c>
      <c r="K26" s="136"/>
      <c r="L26" s="139" t="s">
        <v>196</v>
      </c>
      <c r="M26" s="136" t="s">
        <v>154</v>
      </c>
      <c r="N26" s="136"/>
      <c r="O26" s="139" t="s">
        <v>196</v>
      </c>
      <c r="P26" s="136" t="s">
        <v>155</v>
      </c>
      <c r="Q26" s="137"/>
      <c r="R26" s="137"/>
      <c r="S26" s="136"/>
      <c r="T26" s="136"/>
      <c r="U26" s="136"/>
      <c r="V26" s="136"/>
      <c r="W26" s="136"/>
      <c r="X26" s="144"/>
      <c r="Y26" s="134"/>
      <c r="Z26" s="95"/>
      <c r="AA26" s="95"/>
      <c r="AB26" s="96"/>
      <c r="AC26" s="347"/>
      <c r="AD26" s="347"/>
      <c r="AE26" s="347"/>
      <c r="AF26" s="347"/>
      <c r="AI26" s="109" t="str">
        <f>"52:zaitaku_hukki_code:" &amp; IF(I26="■",1,IF(L26="■",2,IF(O26="■",3,0)))</f>
        <v>52:zaitaku_hukki_code:0</v>
      </c>
    </row>
    <row r="27" spans="1:38" s="109" customFormat="1" ht="18.75" customHeight="1" x14ac:dyDescent="0.15">
      <c r="A27" s="97"/>
      <c r="B27" s="98"/>
      <c r="C27" s="210"/>
      <c r="D27" s="211"/>
      <c r="E27" s="101"/>
      <c r="F27" s="120" t="s">
        <v>196</v>
      </c>
      <c r="G27" s="101" t="s">
        <v>182</v>
      </c>
      <c r="H27" s="200" t="s">
        <v>88</v>
      </c>
      <c r="I27" s="130" t="s">
        <v>196</v>
      </c>
      <c r="J27" s="105" t="s">
        <v>153</v>
      </c>
      <c r="K27" s="154"/>
      <c r="L27" s="174" t="s">
        <v>196</v>
      </c>
      <c r="M27" s="105" t="s">
        <v>161</v>
      </c>
      <c r="N27" s="137"/>
      <c r="O27" s="137"/>
      <c r="P27" s="137"/>
      <c r="Q27" s="137"/>
      <c r="R27" s="137"/>
      <c r="S27" s="137"/>
      <c r="T27" s="137"/>
      <c r="U27" s="137"/>
      <c r="V27" s="137"/>
      <c r="W27" s="137"/>
      <c r="X27" s="145"/>
      <c r="Y27" s="134"/>
      <c r="Z27" s="95"/>
      <c r="AA27" s="95"/>
      <c r="AB27" s="96"/>
      <c r="AC27" s="347"/>
      <c r="AD27" s="347"/>
      <c r="AE27" s="347"/>
      <c r="AF27" s="347"/>
      <c r="AI27" s="109" t="str">
        <f>"52:terminal_code:" &amp; IF(I27="■",1,IF(L27="■",2,0))</f>
        <v>52:terminal_code:0</v>
      </c>
    </row>
    <row r="28" spans="1:38" s="109" customFormat="1" ht="18.75" customHeight="1" x14ac:dyDescent="0.15">
      <c r="A28" s="97"/>
      <c r="B28" s="98"/>
      <c r="C28" s="210"/>
      <c r="D28" s="211"/>
      <c r="E28" s="101"/>
      <c r="F28" s="211"/>
      <c r="G28" s="101"/>
      <c r="H28" s="200" t="s">
        <v>129</v>
      </c>
      <c r="I28" s="130" t="s">
        <v>196</v>
      </c>
      <c r="J28" s="105" t="s">
        <v>153</v>
      </c>
      <c r="K28" s="154"/>
      <c r="L28" s="174" t="s">
        <v>196</v>
      </c>
      <c r="M28" s="105" t="s">
        <v>161</v>
      </c>
      <c r="N28" s="137"/>
      <c r="O28" s="137"/>
      <c r="P28" s="137"/>
      <c r="Q28" s="137"/>
      <c r="R28" s="137"/>
      <c r="S28" s="137"/>
      <c r="T28" s="137"/>
      <c r="U28" s="137"/>
      <c r="V28" s="137"/>
      <c r="W28" s="137"/>
      <c r="X28" s="145"/>
      <c r="Y28" s="134"/>
      <c r="Z28" s="95"/>
      <c r="AA28" s="95"/>
      <c r="AB28" s="96"/>
      <c r="AC28" s="347"/>
      <c r="AD28" s="347"/>
      <c r="AE28" s="347"/>
      <c r="AF28" s="347"/>
      <c r="AI28" s="109" t="str">
        <f>"52:field207:" &amp; IF(I28="■",1,IF(L28="■",2,0))</f>
        <v>52:field207:0</v>
      </c>
    </row>
    <row r="29" spans="1:38" s="109" customFormat="1" ht="18.75" customHeight="1" x14ac:dyDescent="0.15">
      <c r="A29" s="97"/>
      <c r="B29" s="98"/>
      <c r="C29" s="210"/>
      <c r="D29" s="211"/>
      <c r="E29" s="101"/>
      <c r="F29" s="211"/>
      <c r="G29" s="101"/>
      <c r="H29" s="200" t="s">
        <v>99</v>
      </c>
      <c r="I29" s="130" t="s">
        <v>196</v>
      </c>
      <c r="J29" s="105" t="s">
        <v>153</v>
      </c>
      <c r="K29" s="154"/>
      <c r="L29" s="174" t="s">
        <v>196</v>
      </c>
      <c r="M29" s="105" t="s">
        <v>161</v>
      </c>
      <c r="N29" s="137"/>
      <c r="O29" s="136"/>
      <c r="P29" s="136"/>
      <c r="Q29" s="136"/>
      <c r="R29" s="136"/>
      <c r="S29" s="136"/>
      <c r="T29" s="136"/>
      <c r="U29" s="136"/>
      <c r="V29" s="136"/>
      <c r="W29" s="136"/>
      <c r="X29" s="144"/>
      <c r="Y29" s="134"/>
      <c r="Z29" s="95"/>
      <c r="AA29" s="95"/>
      <c r="AB29" s="96"/>
      <c r="AC29" s="347"/>
      <c r="AD29" s="347"/>
      <c r="AE29" s="347"/>
      <c r="AF29" s="347"/>
      <c r="AI29" s="109" t="str">
        <f>"52:ryouyoushoku_code:" &amp; IF(I29="■",1,IF(L29="■",2,0))</f>
        <v>52:ryouyoushoku_code:0</v>
      </c>
    </row>
    <row r="30" spans="1:38" s="109" customFormat="1" ht="18.75" customHeight="1" x14ac:dyDescent="0.15">
      <c r="A30" s="97"/>
      <c r="B30" s="98"/>
      <c r="C30" s="210"/>
      <c r="D30" s="211"/>
      <c r="E30" s="101"/>
      <c r="F30" s="102"/>
      <c r="G30" s="101"/>
      <c r="H30" s="200" t="s">
        <v>102</v>
      </c>
      <c r="I30" s="135" t="s">
        <v>196</v>
      </c>
      <c r="J30" s="136" t="s">
        <v>153</v>
      </c>
      <c r="K30" s="136"/>
      <c r="L30" s="139" t="s">
        <v>196</v>
      </c>
      <c r="M30" s="136" t="s">
        <v>154</v>
      </c>
      <c r="N30" s="136"/>
      <c r="O30" s="139" t="s">
        <v>196</v>
      </c>
      <c r="P30" s="136" t="s">
        <v>155</v>
      </c>
      <c r="Q30" s="137"/>
      <c r="R30" s="137"/>
      <c r="S30" s="136"/>
      <c r="T30" s="136"/>
      <c r="U30" s="136"/>
      <c r="V30" s="136"/>
      <c r="W30" s="136"/>
      <c r="X30" s="144"/>
      <c r="Y30" s="134"/>
      <c r="Z30" s="95"/>
      <c r="AA30" s="95"/>
      <c r="AB30" s="96"/>
      <c r="AC30" s="347"/>
      <c r="AD30" s="347"/>
      <c r="AE30" s="347"/>
      <c r="AF30" s="347"/>
      <c r="AI30" s="109" t="str">
        <f>"52:ninti_senmoncare_code:" &amp; IF(I30="■",1,IF(O30="■",3,IF(L30="■",2,0)))</f>
        <v>52:ninti_senmoncare_code:0</v>
      </c>
    </row>
    <row r="31" spans="1:38" s="109" customFormat="1" ht="18.75" customHeight="1" x14ac:dyDescent="0.15">
      <c r="A31" s="97"/>
      <c r="B31" s="98"/>
      <c r="C31" s="210"/>
      <c r="D31" s="211"/>
      <c r="E31" s="101"/>
      <c r="F31" s="102"/>
      <c r="G31" s="101"/>
      <c r="H31" s="200" t="s">
        <v>225</v>
      </c>
      <c r="I31" s="135" t="s">
        <v>196</v>
      </c>
      <c r="J31" s="136" t="s">
        <v>153</v>
      </c>
      <c r="K31" s="136"/>
      <c r="L31" s="139" t="s">
        <v>196</v>
      </c>
      <c r="M31" s="136" t="s">
        <v>154</v>
      </c>
      <c r="N31" s="136"/>
      <c r="O31" s="139" t="s">
        <v>196</v>
      </c>
      <c r="P31" s="136" t="s">
        <v>155</v>
      </c>
      <c r="Q31" s="137"/>
      <c r="R31" s="137"/>
      <c r="S31" s="137"/>
      <c r="T31" s="137"/>
      <c r="U31" s="137"/>
      <c r="V31" s="137"/>
      <c r="W31" s="137"/>
      <c r="X31" s="145"/>
      <c r="Y31" s="134"/>
      <c r="Z31" s="95"/>
      <c r="AA31" s="95"/>
      <c r="AB31" s="96"/>
      <c r="AC31" s="347"/>
      <c r="AD31" s="347"/>
      <c r="AE31" s="347"/>
      <c r="AF31" s="347"/>
      <c r="AI31" s="109" t="str">
        <f>"52:field228:" &amp; IF(I31="■",1,IF(L31="■",2,IF(O31="■",3,0)))</f>
        <v>52:field228:0</v>
      </c>
    </row>
    <row r="32" spans="1:38" s="109" customFormat="1" ht="18.75" customHeight="1" x14ac:dyDescent="0.15">
      <c r="A32" s="97"/>
      <c r="B32" s="98"/>
      <c r="C32" s="210"/>
      <c r="D32" s="211"/>
      <c r="E32" s="101"/>
      <c r="F32" s="102"/>
      <c r="G32" s="101"/>
      <c r="H32" s="199" t="s">
        <v>139</v>
      </c>
      <c r="I32" s="130" t="s">
        <v>196</v>
      </c>
      <c r="J32" s="105" t="s">
        <v>153</v>
      </c>
      <c r="K32" s="154"/>
      <c r="L32" s="139" t="s">
        <v>196</v>
      </c>
      <c r="M32" s="136" t="s">
        <v>162</v>
      </c>
      <c r="N32" s="136"/>
      <c r="O32" s="139" t="s">
        <v>196</v>
      </c>
      <c r="P32" s="136" t="s">
        <v>163</v>
      </c>
      <c r="Q32" s="137"/>
      <c r="R32" s="137"/>
      <c r="S32" s="137"/>
      <c r="T32" s="137"/>
      <c r="U32" s="137"/>
      <c r="V32" s="137"/>
      <c r="W32" s="137"/>
      <c r="X32" s="145"/>
      <c r="Y32" s="134"/>
      <c r="Z32" s="95"/>
      <c r="AA32" s="95"/>
      <c r="AB32" s="96"/>
      <c r="AC32" s="347"/>
      <c r="AD32" s="347"/>
      <c r="AE32" s="347"/>
      <c r="AF32" s="347"/>
      <c r="AI32" s="109" t="str">
        <f>"52:field216:" &amp; IF(I32="■",1,IF(L32="■",2,IF(O32="■",3,0)))</f>
        <v>52:field216:0</v>
      </c>
    </row>
    <row r="33" spans="1:36" s="109" customFormat="1" ht="18.75" customHeight="1" x14ac:dyDescent="0.15">
      <c r="A33" s="97"/>
      <c r="B33" s="98"/>
      <c r="C33" s="210"/>
      <c r="D33" s="211"/>
      <c r="E33" s="101"/>
      <c r="F33" s="102"/>
      <c r="G33" s="101"/>
      <c r="H33" s="200" t="s">
        <v>124</v>
      </c>
      <c r="I33" s="130" t="s">
        <v>196</v>
      </c>
      <c r="J33" s="105" t="s">
        <v>153</v>
      </c>
      <c r="K33" s="154"/>
      <c r="L33" s="174" t="s">
        <v>196</v>
      </c>
      <c r="M33" s="105" t="s">
        <v>161</v>
      </c>
      <c r="N33" s="137"/>
      <c r="O33" s="137"/>
      <c r="P33" s="137"/>
      <c r="Q33" s="137"/>
      <c r="R33" s="137"/>
      <c r="S33" s="137"/>
      <c r="T33" s="137"/>
      <c r="U33" s="137"/>
      <c r="V33" s="137"/>
      <c r="W33" s="137"/>
      <c r="X33" s="145"/>
      <c r="Y33" s="134"/>
      <c r="Z33" s="95"/>
      <c r="AA33" s="95"/>
      <c r="AB33" s="96"/>
      <c r="AC33" s="347"/>
      <c r="AD33" s="347"/>
      <c r="AE33" s="347"/>
      <c r="AF33" s="347"/>
      <c r="AI33" s="109" t="str">
        <f>"52:field177:" &amp; IF(I33="■",1,IF(L33="■",2,0))</f>
        <v>52:field177:0</v>
      </c>
    </row>
    <row r="34" spans="1:36" s="109" customFormat="1" ht="18.75" customHeight="1" x14ac:dyDescent="0.15">
      <c r="A34" s="97"/>
      <c r="B34" s="98"/>
      <c r="C34" s="210"/>
      <c r="D34" s="211"/>
      <c r="E34" s="101"/>
      <c r="F34" s="102"/>
      <c r="G34" s="101"/>
      <c r="H34" s="199" t="s">
        <v>128</v>
      </c>
      <c r="I34" s="130" t="s">
        <v>196</v>
      </c>
      <c r="J34" s="105" t="s">
        <v>153</v>
      </c>
      <c r="K34" s="154"/>
      <c r="L34" s="174" t="s">
        <v>196</v>
      </c>
      <c r="M34" s="105" t="s">
        <v>161</v>
      </c>
      <c r="N34" s="137"/>
      <c r="O34" s="137"/>
      <c r="P34" s="137"/>
      <c r="Q34" s="137"/>
      <c r="R34" s="137"/>
      <c r="S34" s="137"/>
      <c r="T34" s="137"/>
      <c r="U34" s="137"/>
      <c r="V34" s="137"/>
      <c r="W34" s="137"/>
      <c r="X34" s="145"/>
      <c r="Y34" s="134"/>
      <c r="Z34" s="95"/>
      <c r="AA34" s="95"/>
      <c r="AB34" s="96"/>
      <c r="AC34" s="347"/>
      <c r="AD34" s="347"/>
      <c r="AE34" s="347"/>
      <c r="AF34" s="347"/>
      <c r="AI34" s="109" t="str">
        <f>"52:field210:" &amp; IF(I34="■",1,IF(L34="■",2,0))</f>
        <v>52:field210:0</v>
      </c>
    </row>
    <row r="35" spans="1:36" s="109" customFormat="1" ht="18.75" customHeight="1" x14ac:dyDescent="0.15">
      <c r="A35" s="97"/>
      <c r="B35" s="98"/>
      <c r="C35" s="210"/>
      <c r="D35" s="211"/>
      <c r="E35" s="101"/>
      <c r="F35" s="102"/>
      <c r="G35" s="101"/>
      <c r="H35" s="200" t="s">
        <v>138</v>
      </c>
      <c r="I35" s="130" t="s">
        <v>196</v>
      </c>
      <c r="J35" s="105" t="s">
        <v>153</v>
      </c>
      <c r="K35" s="154"/>
      <c r="L35" s="174" t="s">
        <v>196</v>
      </c>
      <c r="M35" s="105" t="s">
        <v>161</v>
      </c>
      <c r="N35" s="137"/>
      <c r="O35" s="137"/>
      <c r="P35" s="137"/>
      <c r="Q35" s="137"/>
      <c r="R35" s="137"/>
      <c r="S35" s="137"/>
      <c r="T35" s="137"/>
      <c r="U35" s="137"/>
      <c r="V35" s="137"/>
      <c r="W35" s="137"/>
      <c r="X35" s="145"/>
      <c r="Y35" s="134"/>
      <c r="Z35" s="95"/>
      <c r="AA35" s="95"/>
      <c r="AB35" s="96"/>
      <c r="AC35" s="347"/>
      <c r="AD35" s="347"/>
      <c r="AE35" s="347"/>
      <c r="AF35" s="347"/>
      <c r="AI35" s="109" t="str">
        <f>"52:field211:" &amp; IF(I35="■",1,IF(L35="■",2,0))</f>
        <v>52:field211:0</v>
      </c>
    </row>
    <row r="36" spans="1:36" s="109" customFormat="1" ht="18.75" customHeight="1" x14ac:dyDescent="0.15">
      <c r="A36" s="97"/>
      <c r="B36" s="98"/>
      <c r="C36" s="210"/>
      <c r="D36" s="211"/>
      <c r="E36" s="101"/>
      <c r="F36" s="102"/>
      <c r="G36" s="101"/>
      <c r="H36" s="200" t="s">
        <v>127</v>
      </c>
      <c r="I36" s="130" t="s">
        <v>196</v>
      </c>
      <c r="J36" s="105" t="s">
        <v>153</v>
      </c>
      <c r="K36" s="154"/>
      <c r="L36" s="174" t="s">
        <v>196</v>
      </c>
      <c r="M36" s="105" t="s">
        <v>161</v>
      </c>
      <c r="N36" s="137"/>
      <c r="O36" s="137"/>
      <c r="P36" s="137"/>
      <c r="Q36" s="137"/>
      <c r="R36" s="137"/>
      <c r="S36" s="137"/>
      <c r="T36" s="137"/>
      <c r="U36" s="137"/>
      <c r="V36" s="137"/>
      <c r="W36" s="137"/>
      <c r="X36" s="145"/>
      <c r="Y36" s="134"/>
      <c r="Z36" s="95"/>
      <c r="AA36" s="95"/>
      <c r="AB36" s="96"/>
      <c r="AC36" s="347"/>
      <c r="AD36" s="347"/>
      <c r="AE36" s="347"/>
      <c r="AF36" s="347"/>
      <c r="AI36" s="109" t="str">
        <f>"52:field212:" &amp; IF(I36="■",1,IF(L36="■",2,0))</f>
        <v>52:field212:0</v>
      </c>
    </row>
    <row r="37" spans="1:36" s="109" customFormat="1" ht="18.75" customHeight="1" x14ac:dyDescent="0.15">
      <c r="A37" s="97"/>
      <c r="B37" s="98"/>
      <c r="C37" s="210"/>
      <c r="D37" s="211"/>
      <c r="E37" s="101"/>
      <c r="F37" s="102"/>
      <c r="G37" s="101"/>
      <c r="H37" s="200" t="s">
        <v>133</v>
      </c>
      <c r="I37" s="130" t="s">
        <v>196</v>
      </c>
      <c r="J37" s="105" t="s">
        <v>153</v>
      </c>
      <c r="K37" s="154"/>
      <c r="L37" s="174" t="s">
        <v>196</v>
      </c>
      <c r="M37" s="105" t="s">
        <v>161</v>
      </c>
      <c r="N37" s="137"/>
      <c r="O37" s="137"/>
      <c r="P37" s="137"/>
      <c r="Q37" s="137"/>
      <c r="R37" s="137"/>
      <c r="S37" s="137"/>
      <c r="T37" s="137"/>
      <c r="U37" s="137"/>
      <c r="V37" s="137"/>
      <c r="W37" s="137"/>
      <c r="X37" s="145"/>
      <c r="Y37" s="134"/>
      <c r="Z37" s="95"/>
      <c r="AA37" s="95"/>
      <c r="AB37" s="96"/>
      <c r="AC37" s="347"/>
      <c r="AD37" s="347"/>
      <c r="AE37" s="347"/>
      <c r="AF37" s="347"/>
      <c r="AI37" s="109" t="str">
        <f>"52:field209:" &amp; IF(I37="■",1,IF(L37="■",2,0))</f>
        <v>52:field209:0</v>
      </c>
    </row>
    <row r="38" spans="1:36" s="109" customFormat="1" ht="18.75" customHeight="1" x14ac:dyDescent="0.15">
      <c r="A38" s="97"/>
      <c r="B38" s="98"/>
      <c r="C38" s="210"/>
      <c r="D38" s="211"/>
      <c r="E38" s="101"/>
      <c r="F38" s="102"/>
      <c r="G38" s="101"/>
      <c r="H38" s="200" t="s">
        <v>227</v>
      </c>
      <c r="I38" s="135" t="s">
        <v>196</v>
      </c>
      <c r="J38" s="136" t="s">
        <v>153</v>
      </c>
      <c r="K38" s="136"/>
      <c r="L38" s="139" t="s">
        <v>196</v>
      </c>
      <c r="M38" s="105" t="s">
        <v>161</v>
      </c>
      <c r="N38" s="136"/>
      <c r="O38" s="136"/>
      <c r="P38" s="136"/>
      <c r="Q38" s="137"/>
      <c r="R38" s="137"/>
      <c r="S38" s="137"/>
      <c r="T38" s="137"/>
      <c r="U38" s="137"/>
      <c r="V38" s="137"/>
      <c r="W38" s="137"/>
      <c r="X38" s="145"/>
      <c r="Y38" s="134"/>
      <c r="Z38" s="95"/>
      <c r="AA38" s="95"/>
      <c r="AB38" s="96"/>
      <c r="AC38" s="347"/>
      <c r="AD38" s="347"/>
      <c r="AE38" s="347"/>
      <c r="AF38" s="347"/>
      <c r="AI38" s="109" t="str">
        <f>"52:field226:" &amp; IF(I38="■",1,IF(L38="■",2,0))</f>
        <v>52:field226:0</v>
      </c>
    </row>
    <row r="39" spans="1:36" s="109" customFormat="1" ht="18.75" customHeight="1" x14ac:dyDescent="0.15">
      <c r="A39" s="97"/>
      <c r="B39" s="98"/>
      <c r="C39" s="210"/>
      <c r="D39" s="211"/>
      <c r="E39" s="101"/>
      <c r="F39" s="102"/>
      <c r="G39" s="101"/>
      <c r="H39" s="200" t="s">
        <v>228</v>
      </c>
      <c r="I39" s="135" t="s">
        <v>196</v>
      </c>
      <c r="J39" s="136" t="s">
        <v>153</v>
      </c>
      <c r="K39" s="136"/>
      <c r="L39" s="139" t="s">
        <v>196</v>
      </c>
      <c r="M39" s="105" t="s">
        <v>161</v>
      </c>
      <c r="N39" s="136"/>
      <c r="O39" s="136"/>
      <c r="P39" s="136"/>
      <c r="Q39" s="137"/>
      <c r="R39" s="137"/>
      <c r="S39" s="137"/>
      <c r="T39" s="137"/>
      <c r="U39" s="137"/>
      <c r="V39" s="137"/>
      <c r="W39" s="137"/>
      <c r="X39" s="145"/>
      <c r="Y39" s="134"/>
      <c r="Z39" s="95"/>
      <c r="AA39" s="95"/>
      <c r="AB39" s="96"/>
      <c r="AC39" s="347"/>
      <c r="AD39" s="347"/>
      <c r="AE39" s="347"/>
      <c r="AF39" s="347"/>
      <c r="AI39" s="109" t="str">
        <f>"52:field227:" &amp; IF(I39="■",1,IF(L39="■",2,0))</f>
        <v>52:field227:0</v>
      </c>
    </row>
    <row r="40" spans="1:36" s="109" customFormat="1" ht="18.75" customHeight="1" x14ac:dyDescent="0.15">
      <c r="A40" s="97"/>
      <c r="B40" s="98"/>
      <c r="C40" s="210"/>
      <c r="D40" s="211"/>
      <c r="E40" s="101"/>
      <c r="F40" s="102"/>
      <c r="G40" s="101"/>
      <c r="H40" s="213" t="s">
        <v>224</v>
      </c>
      <c r="I40" s="135" t="s">
        <v>196</v>
      </c>
      <c r="J40" s="136" t="s">
        <v>153</v>
      </c>
      <c r="K40" s="136"/>
      <c r="L40" s="139" t="s">
        <v>196</v>
      </c>
      <c r="M40" s="136" t="s">
        <v>154</v>
      </c>
      <c r="N40" s="136"/>
      <c r="O40" s="139" t="s">
        <v>196</v>
      </c>
      <c r="P40" s="136" t="s">
        <v>155</v>
      </c>
      <c r="Q40" s="141"/>
      <c r="R40" s="141"/>
      <c r="S40" s="141"/>
      <c r="T40" s="141"/>
      <c r="U40" s="214"/>
      <c r="V40" s="214"/>
      <c r="W40" s="214"/>
      <c r="X40" s="215"/>
      <c r="Y40" s="134"/>
      <c r="Z40" s="95"/>
      <c r="AA40" s="95"/>
      <c r="AB40" s="96"/>
      <c r="AC40" s="347"/>
      <c r="AD40" s="347"/>
      <c r="AE40" s="347"/>
      <c r="AF40" s="347"/>
      <c r="AI40" s="109" t="str">
        <f>"52:field225:" &amp; IF(I40="■",1,IF(L40="■",2,IF(O40="■",3,0)))</f>
        <v>52:field225:0</v>
      </c>
    </row>
    <row r="41" spans="1:36" s="109" customFormat="1" ht="18.75" customHeight="1" x14ac:dyDescent="0.15">
      <c r="A41" s="97"/>
      <c r="B41" s="98"/>
      <c r="C41" s="210"/>
      <c r="D41" s="211"/>
      <c r="E41" s="101"/>
      <c r="F41" s="102"/>
      <c r="G41" s="101"/>
      <c r="H41" s="200" t="s">
        <v>103</v>
      </c>
      <c r="I41" s="135" t="s">
        <v>196</v>
      </c>
      <c r="J41" s="136" t="s">
        <v>153</v>
      </c>
      <c r="K41" s="136"/>
      <c r="L41" s="139" t="s">
        <v>196</v>
      </c>
      <c r="M41" s="136" t="s">
        <v>157</v>
      </c>
      <c r="N41" s="136"/>
      <c r="O41" s="139" t="s">
        <v>196</v>
      </c>
      <c r="P41" s="136" t="s">
        <v>158</v>
      </c>
      <c r="Q41" s="177"/>
      <c r="R41" s="139" t="s">
        <v>196</v>
      </c>
      <c r="S41" s="136" t="s">
        <v>167</v>
      </c>
      <c r="T41" s="136"/>
      <c r="U41" s="136"/>
      <c r="V41" s="136"/>
      <c r="W41" s="136"/>
      <c r="X41" s="144"/>
      <c r="Y41" s="134"/>
      <c r="Z41" s="95"/>
      <c r="AA41" s="95"/>
      <c r="AB41" s="96"/>
      <c r="AC41" s="347"/>
      <c r="AD41" s="347"/>
      <c r="AE41" s="347"/>
      <c r="AF41" s="347"/>
      <c r="AI41" s="109" t="str">
        <f>"52:serteikyo_kyoka_code:" &amp; IF(I41="■",1,IF(L41="■",6,IF(O41="■",5,IF(R41="■",7,0))))</f>
        <v>52:serteikyo_kyoka_code:0</v>
      </c>
    </row>
    <row r="42" spans="1:36" s="109" customFormat="1" ht="18.75" customHeight="1" x14ac:dyDescent="0.15">
      <c r="A42" s="156"/>
      <c r="B42" s="157"/>
      <c r="C42" s="158"/>
      <c r="D42" s="159"/>
      <c r="E42" s="160"/>
      <c r="F42" s="161"/>
      <c r="G42" s="162"/>
      <c r="H42" s="85" t="s">
        <v>234</v>
      </c>
      <c r="I42" s="163" t="s">
        <v>196</v>
      </c>
      <c r="J42" s="86" t="s">
        <v>153</v>
      </c>
      <c r="K42" s="86"/>
      <c r="L42" s="164" t="s">
        <v>196</v>
      </c>
      <c r="M42" s="86" t="s">
        <v>218</v>
      </c>
      <c r="N42" s="87"/>
      <c r="O42" s="164" t="s">
        <v>196</v>
      </c>
      <c r="P42" s="89" t="s">
        <v>219</v>
      </c>
      <c r="Q42" s="88"/>
      <c r="R42" s="164" t="s">
        <v>196</v>
      </c>
      <c r="S42" s="86" t="s">
        <v>220</v>
      </c>
      <c r="T42" s="88"/>
      <c r="U42" s="164" t="s">
        <v>196</v>
      </c>
      <c r="V42" s="86" t="s">
        <v>221</v>
      </c>
      <c r="W42" s="90"/>
      <c r="X42" s="91"/>
      <c r="Y42" s="165"/>
      <c r="Z42" s="165"/>
      <c r="AA42" s="165"/>
      <c r="AB42" s="166"/>
      <c r="AC42" s="348"/>
      <c r="AD42" s="348"/>
      <c r="AE42" s="348"/>
      <c r="AF42" s="348"/>
      <c r="AI42" s="109" t="str">
        <f>"52:shoguukaizen_code:"&amp;IF(I42="■",1,IF(L42="■",7,IF(O42="■",8,IF(R42="■",9,IF(U42="■","A",0)))))</f>
        <v>52:shoguukaizen_code:0</v>
      </c>
    </row>
    <row r="43" spans="1:36" s="109" customFormat="1" ht="18.75" customHeight="1" x14ac:dyDescent="0.15">
      <c r="A43" s="122"/>
      <c r="B43" s="123"/>
      <c r="C43" s="221"/>
      <c r="D43" s="222"/>
      <c r="E43" s="117"/>
      <c r="F43" s="126"/>
      <c r="G43" s="117"/>
      <c r="H43" s="193" t="s">
        <v>92</v>
      </c>
      <c r="I43" s="167" t="s">
        <v>196</v>
      </c>
      <c r="J43" s="168" t="s">
        <v>179</v>
      </c>
      <c r="K43" s="169"/>
      <c r="L43" s="170"/>
      <c r="M43" s="171" t="s">
        <v>196</v>
      </c>
      <c r="N43" s="168" t="s">
        <v>180</v>
      </c>
      <c r="O43" s="172"/>
      <c r="P43" s="169"/>
      <c r="Q43" s="169"/>
      <c r="R43" s="169"/>
      <c r="S43" s="169"/>
      <c r="T43" s="169"/>
      <c r="U43" s="169"/>
      <c r="V43" s="169"/>
      <c r="W43" s="169"/>
      <c r="X43" s="223"/>
      <c r="Y43" s="129" t="s">
        <v>196</v>
      </c>
      <c r="Z43" s="115" t="s">
        <v>152</v>
      </c>
      <c r="AA43" s="115"/>
      <c r="AB43" s="128"/>
      <c r="AC43" s="346"/>
      <c r="AD43" s="346"/>
      <c r="AE43" s="346"/>
      <c r="AF43" s="346"/>
      <c r="AG43" s="109" t="str">
        <f>"ser_code = '" &amp; IF(A57="■",52,"") &amp; "'"</f>
        <v>ser_code = ''</v>
      </c>
      <c r="AH43" s="109" t="str">
        <f>"52:jininkbn_code:" &amp; IF(F57="■",1,IF(F58="■",2,0))</f>
        <v>52:jininkbn_code:0</v>
      </c>
      <c r="AI43" s="109" t="str">
        <f>"52:yakan_kinmu_code:" &amp; IF(I43="■",1,IF(M43="■",6,0))</f>
        <v>52:yakan_kinmu_code:0</v>
      </c>
      <c r="AJ43" s="109" t="str">
        <f>"52:field203:" &amp; IF(Y43="■",1,IF(Y44="■",2,0))</f>
        <v>52:field203:0</v>
      </c>
    </row>
    <row r="44" spans="1:36" s="109" customFormat="1" ht="18.75" customHeight="1" x14ac:dyDescent="0.15">
      <c r="A44" s="97"/>
      <c r="B44" s="98"/>
      <c r="C44" s="210"/>
      <c r="D44" s="211"/>
      <c r="E44" s="101"/>
      <c r="F44" s="102"/>
      <c r="G44" s="101"/>
      <c r="H44" s="349" t="s">
        <v>89</v>
      </c>
      <c r="I44" s="175" t="s">
        <v>196</v>
      </c>
      <c r="J44" s="147" t="s">
        <v>153</v>
      </c>
      <c r="K44" s="147"/>
      <c r="L44" s="179"/>
      <c r="M44" s="176" t="s">
        <v>196</v>
      </c>
      <c r="N44" s="147" t="s">
        <v>168</v>
      </c>
      <c r="O44" s="147"/>
      <c r="P44" s="179"/>
      <c r="Q44" s="176" t="s">
        <v>196</v>
      </c>
      <c r="R44" s="179" t="s">
        <v>169</v>
      </c>
      <c r="S44" s="179"/>
      <c r="T44" s="179"/>
      <c r="U44" s="176" t="s">
        <v>196</v>
      </c>
      <c r="V44" s="179" t="s">
        <v>170</v>
      </c>
      <c r="W44" s="179"/>
      <c r="X44" s="180"/>
      <c r="Y44" s="120" t="s">
        <v>196</v>
      </c>
      <c r="Z44" s="94" t="s">
        <v>156</v>
      </c>
      <c r="AA44" s="95"/>
      <c r="AB44" s="96"/>
      <c r="AC44" s="347"/>
      <c r="AD44" s="347"/>
      <c r="AE44" s="347"/>
      <c r="AF44" s="347"/>
      <c r="AG44" s="109" t="str">
        <f>"52:sisetukbn_code:" &amp; IF(D57="■",2,0)</f>
        <v>52:sisetukbn_code:0</v>
      </c>
      <c r="AI44" s="109" t="str">
        <f>"52:"&amp;IF(AND(I44="□",M44="□",Q44="□",U44="□",I45="□",M45="□",Q45="□",I46="□"),"ketu_doctor_code:0",IF(I44="■","ketu_doctor_code:1:ketu_kangos_code:1:ketu_kshoku_code:1:ketu_rryoho_code:1:ketu_sryoho_code:1:ketu_ksiensou_code:1:ketu_gengo_code:1",IF(M44="■","ketu_doctor_code:2","ketu_doctor_code:1")
&amp;IF(Q44="■",":ketu_kangos_code:2",":ketu_kangos_code:1")
&amp;IF(U44="■",":ketu_kshoku_code:2",":ketu_kshoku_code:1")
&amp;IF(I45="■",":ketu_rryoho_code:2",":ketu_rryoho_code:1")
&amp;IF(M45="■",":ketu_sryoho_code:2",":ketu_sryoho_code:1")
&amp;IF(Q45="■",":ketu_ksiensou_code:2",":ketu_ksiensou_code:1")
&amp;IF(I46="■",":ketu_gengo_code:2",":ketu_gengo_code:1")))</f>
        <v>52:ketu_doctor_code:0</v>
      </c>
    </row>
    <row r="45" spans="1:36" s="109" customFormat="1" ht="18.75" customHeight="1" x14ac:dyDescent="0.15">
      <c r="A45" s="97"/>
      <c r="B45" s="98"/>
      <c r="C45" s="210"/>
      <c r="D45" s="211"/>
      <c r="E45" s="101"/>
      <c r="F45" s="102"/>
      <c r="G45" s="101"/>
      <c r="H45" s="343"/>
      <c r="I45" s="120" t="s">
        <v>196</v>
      </c>
      <c r="J45" s="94" t="s">
        <v>171</v>
      </c>
      <c r="K45" s="94"/>
      <c r="L45" s="93"/>
      <c r="M45" s="114" t="s">
        <v>196</v>
      </c>
      <c r="N45" s="94" t="s">
        <v>172</v>
      </c>
      <c r="O45" s="94"/>
      <c r="P45" s="93"/>
      <c r="Q45" s="114" t="s">
        <v>196</v>
      </c>
      <c r="R45" s="93" t="s">
        <v>199</v>
      </c>
      <c r="S45" s="93"/>
      <c r="T45" s="93"/>
      <c r="U45" s="93"/>
      <c r="V45" s="93"/>
      <c r="W45" s="93"/>
      <c r="X45" s="153"/>
      <c r="Y45" s="134"/>
      <c r="Z45" s="95"/>
      <c r="AA45" s="95"/>
      <c r="AB45" s="96"/>
      <c r="AC45" s="347"/>
      <c r="AD45" s="347"/>
      <c r="AE45" s="347"/>
      <c r="AF45" s="347"/>
    </row>
    <row r="46" spans="1:36" s="109" customFormat="1" ht="18.75" customHeight="1" x14ac:dyDescent="0.15">
      <c r="A46" s="97"/>
      <c r="B46" s="98"/>
      <c r="C46" s="210"/>
      <c r="D46" s="211"/>
      <c r="E46" s="101"/>
      <c r="F46" s="102"/>
      <c r="G46" s="101"/>
      <c r="H46" s="350"/>
      <c r="I46" s="130" t="s">
        <v>196</v>
      </c>
      <c r="J46" s="105" t="s">
        <v>200</v>
      </c>
      <c r="K46" s="105"/>
      <c r="L46" s="131"/>
      <c r="M46" s="105"/>
      <c r="N46" s="105"/>
      <c r="O46" s="105"/>
      <c r="P46" s="131"/>
      <c r="Q46" s="105"/>
      <c r="R46" s="131"/>
      <c r="S46" s="131"/>
      <c r="T46" s="131"/>
      <c r="U46" s="131"/>
      <c r="V46" s="131"/>
      <c r="W46" s="131"/>
      <c r="X46" s="198"/>
      <c r="Y46" s="134"/>
      <c r="Z46" s="95"/>
      <c r="AA46" s="95"/>
      <c r="AB46" s="96"/>
      <c r="AC46" s="347"/>
      <c r="AD46" s="347"/>
      <c r="AE46" s="347"/>
      <c r="AF46" s="347"/>
    </row>
    <row r="47" spans="1:36" s="109" customFormat="1" ht="18.75" customHeight="1" x14ac:dyDescent="0.15">
      <c r="A47" s="97"/>
      <c r="B47" s="98"/>
      <c r="C47" s="210"/>
      <c r="D47" s="211"/>
      <c r="E47" s="101"/>
      <c r="F47" s="102"/>
      <c r="G47" s="101"/>
      <c r="H47" s="200" t="s">
        <v>93</v>
      </c>
      <c r="I47" s="135" t="s">
        <v>196</v>
      </c>
      <c r="J47" s="136" t="s">
        <v>159</v>
      </c>
      <c r="K47" s="137"/>
      <c r="L47" s="138"/>
      <c r="M47" s="139" t="s">
        <v>196</v>
      </c>
      <c r="N47" s="136" t="s">
        <v>160</v>
      </c>
      <c r="O47" s="137"/>
      <c r="P47" s="137"/>
      <c r="Q47" s="137"/>
      <c r="R47" s="137"/>
      <c r="S47" s="137"/>
      <c r="T47" s="137"/>
      <c r="U47" s="137"/>
      <c r="V47" s="137"/>
      <c r="W47" s="137"/>
      <c r="X47" s="145"/>
      <c r="Y47" s="134"/>
      <c r="Z47" s="95"/>
      <c r="AA47" s="95"/>
      <c r="AB47" s="96"/>
      <c r="AC47" s="347"/>
      <c r="AD47" s="347"/>
      <c r="AE47" s="347"/>
      <c r="AF47" s="347"/>
      <c r="AI47" s="109" t="str">
        <f>"52:unitcare_code:" &amp; IF(I47="■",1,IF(M47="■",2,0))</f>
        <v>52:unitcare_code:0</v>
      </c>
    </row>
    <row r="48" spans="1:36" s="109" customFormat="1" ht="18.75" customHeight="1" x14ac:dyDescent="0.15">
      <c r="A48" s="97"/>
      <c r="B48" s="98"/>
      <c r="C48" s="210"/>
      <c r="D48" s="211"/>
      <c r="E48" s="101"/>
      <c r="F48" s="102"/>
      <c r="G48" s="101"/>
      <c r="H48" s="200" t="s">
        <v>96</v>
      </c>
      <c r="I48" s="135" t="s">
        <v>196</v>
      </c>
      <c r="J48" s="136" t="s">
        <v>197</v>
      </c>
      <c r="K48" s="137"/>
      <c r="L48" s="138"/>
      <c r="M48" s="139" t="s">
        <v>196</v>
      </c>
      <c r="N48" s="136" t="s">
        <v>198</v>
      </c>
      <c r="O48" s="137"/>
      <c r="P48" s="137"/>
      <c r="Q48" s="137"/>
      <c r="R48" s="137"/>
      <c r="S48" s="137"/>
      <c r="T48" s="137"/>
      <c r="U48" s="137"/>
      <c r="V48" s="137"/>
      <c r="W48" s="137"/>
      <c r="X48" s="145"/>
      <c r="Y48" s="134"/>
      <c r="Z48" s="95"/>
      <c r="AA48" s="95"/>
      <c r="AB48" s="96"/>
      <c r="AC48" s="347"/>
      <c r="AD48" s="347"/>
      <c r="AE48" s="347"/>
      <c r="AF48" s="347"/>
      <c r="AI48" s="109" t="str">
        <f>"52:sintaikousoku_code:" &amp; IF(I48="■",1,IF(M48="■",2,0))</f>
        <v>52:sintaikousoku_code:0</v>
      </c>
    </row>
    <row r="49" spans="1:35" s="109" customFormat="1" ht="18.75" customHeight="1" x14ac:dyDescent="0.15">
      <c r="A49" s="97"/>
      <c r="B49" s="98"/>
      <c r="C49" s="210"/>
      <c r="D49" s="211"/>
      <c r="E49" s="101"/>
      <c r="F49" s="102"/>
      <c r="G49" s="101"/>
      <c r="H49" s="200" t="s">
        <v>130</v>
      </c>
      <c r="I49" s="135" t="s">
        <v>196</v>
      </c>
      <c r="J49" s="136" t="s">
        <v>197</v>
      </c>
      <c r="K49" s="137"/>
      <c r="L49" s="138"/>
      <c r="M49" s="139" t="s">
        <v>196</v>
      </c>
      <c r="N49" s="136" t="s">
        <v>198</v>
      </c>
      <c r="O49" s="137"/>
      <c r="P49" s="137"/>
      <c r="Q49" s="137"/>
      <c r="R49" s="137"/>
      <c r="S49" s="137"/>
      <c r="T49" s="137"/>
      <c r="U49" s="137"/>
      <c r="V49" s="137"/>
      <c r="W49" s="137"/>
      <c r="X49" s="145"/>
      <c r="Y49" s="134"/>
      <c r="Z49" s="95"/>
      <c r="AA49" s="95"/>
      <c r="AB49" s="96"/>
      <c r="AC49" s="347"/>
      <c r="AD49" s="347"/>
      <c r="AE49" s="347"/>
      <c r="AF49" s="347"/>
      <c r="AI49" s="109" t="str">
        <f>"52:field208:" &amp; IF(I49="■",1,IF(M49="■",2,0))</f>
        <v>52:field208:0</v>
      </c>
    </row>
    <row r="50" spans="1:35" s="109" customFormat="1" ht="19.5" customHeight="1" x14ac:dyDescent="0.15">
      <c r="A50" s="97"/>
      <c r="B50" s="98"/>
      <c r="C50" s="99"/>
      <c r="D50" s="100"/>
      <c r="E50" s="101"/>
      <c r="F50" s="102"/>
      <c r="G50" s="103"/>
      <c r="H50" s="104" t="s">
        <v>215</v>
      </c>
      <c r="I50" s="135" t="s">
        <v>196</v>
      </c>
      <c r="J50" s="136" t="s">
        <v>197</v>
      </c>
      <c r="K50" s="137"/>
      <c r="L50" s="138"/>
      <c r="M50" s="139" t="s">
        <v>196</v>
      </c>
      <c r="N50" s="136" t="s">
        <v>216</v>
      </c>
      <c r="O50" s="140"/>
      <c r="P50" s="136"/>
      <c r="Q50" s="141"/>
      <c r="R50" s="141"/>
      <c r="S50" s="141"/>
      <c r="T50" s="141"/>
      <c r="U50" s="141"/>
      <c r="V50" s="141"/>
      <c r="W50" s="141"/>
      <c r="X50" s="142"/>
      <c r="Y50" s="95"/>
      <c r="Z50" s="95"/>
      <c r="AA50" s="95"/>
      <c r="AB50" s="96"/>
      <c r="AC50" s="347"/>
      <c r="AD50" s="347"/>
      <c r="AE50" s="347"/>
      <c r="AF50" s="347"/>
      <c r="AI50" s="109" t="str">
        <f>"52:field223:" &amp; IF(I50="■",1,IF(M50="■",2,0))</f>
        <v>52:field223:0</v>
      </c>
    </row>
    <row r="51" spans="1:35" s="109" customFormat="1" ht="19.5" customHeight="1" x14ac:dyDescent="0.15">
      <c r="A51" s="97"/>
      <c r="B51" s="98"/>
      <c r="C51" s="99"/>
      <c r="D51" s="100"/>
      <c r="E51" s="101"/>
      <c r="F51" s="102"/>
      <c r="G51" s="103"/>
      <c r="H51" s="104" t="s">
        <v>226</v>
      </c>
      <c r="I51" s="135" t="s">
        <v>196</v>
      </c>
      <c r="J51" s="136" t="s">
        <v>197</v>
      </c>
      <c r="K51" s="137"/>
      <c r="L51" s="138"/>
      <c r="M51" s="139" t="s">
        <v>196</v>
      </c>
      <c r="N51" s="136" t="s">
        <v>216</v>
      </c>
      <c r="O51" s="140"/>
      <c r="P51" s="136"/>
      <c r="Q51" s="141"/>
      <c r="R51" s="141"/>
      <c r="S51" s="141"/>
      <c r="T51" s="141"/>
      <c r="U51" s="141"/>
      <c r="V51" s="141"/>
      <c r="W51" s="141"/>
      <c r="X51" s="142"/>
      <c r="Y51" s="95"/>
      <c r="Z51" s="95"/>
      <c r="AA51" s="95"/>
      <c r="AB51" s="96"/>
      <c r="AC51" s="347"/>
      <c r="AD51" s="347"/>
      <c r="AE51" s="347"/>
      <c r="AF51" s="347"/>
      <c r="AI51" s="109" t="str">
        <f>"52:field232:" &amp; IF(I51="■",1,IF(M51="■",2,0))</f>
        <v>52:field232:0</v>
      </c>
    </row>
    <row r="52" spans="1:35" s="109" customFormat="1" ht="37.5" customHeight="1" x14ac:dyDescent="0.15">
      <c r="A52" s="97"/>
      <c r="B52" s="98"/>
      <c r="C52" s="210"/>
      <c r="D52" s="211"/>
      <c r="E52" s="101"/>
      <c r="F52" s="102"/>
      <c r="G52" s="101"/>
      <c r="H52" s="143" t="s">
        <v>131</v>
      </c>
      <c r="I52" s="130" t="s">
        <v>196</v>
      </c>
      <c r="J52" s="105" t="s">
        <v>153</v>
      </c>
      <c r="K52" s="154"/>
      <c r="L52" s="174" t="s">
        <v>196</v>
      </c>
      <c r="M52" s="105" t="s">
        <v>161</v>
      </c>
      <c r="N52" s="137"/>
      <c r="O52" s="136"/>
      <c r="P52" s="136"/>
      <c r="Q52" s="136"/>
      <c r="R52" s="136"/>
      <c r="S52" s="136"/>
      <c r="T52" s="136"/>
      <c r="U52" s="136"/>
      <c r="V52" s="136"/>
      <c r="W52" s="136"/>
      <c r="X52" s="144"/>
      <c r="Y52" s="134"/>
      <c r="Z52" s="95"/>
      <c r="AA52" s="95"/>
      <c r="AB52" s="96"/>
      <c r="AC52" s="347"/>
      <c r="AD52" s="347"/>
      <c r="AE52" s="347"/>
      <c r="AF52" s="347"/>
      <c r="AI52" s="109" t="str">
        <f>"52:field206:" &amp; IF(I52="■",1,IF(L52="■",2,0))</f>
        <v>52:field206:0</v>
      </c>
    </row>
    <row r="53" spans="1:35" s="109" customFormat="1" ht="18.75" customHeight="1" x14ac:dyDescent="0.15">
      <c r="A53" s="97"/>
      <c r="B53" s="98"/>
      <c r="C53" s="210"/>
      <c r="D53" s="211"/>
      <c r="E53" s="101"/>
      <c r="F53" s="102"/>
      <c r="G53" s="101"/>
      <c r="H53" s="200" t="s">
        <v>98</v>
      </c>
      <c r="I53" s="130" t="s">
        <v>196</v>
      </c>
      <c r="J53" s="105" t="s">
        <v>153</v>
      </c>
      <c r="K53" s="154"/>
      <c r="L53" s="174" t="s">
        <v>196</v>
      </c>
      <c r="M53" s="105" t="s">
        <v>161</v>
      </c>
      <c r="N53" s="137"/>
      <c r="O53" s="136"/>
      <c r="P53" s="136"/>
      <c r="Q53" s="136"/>
      <c r="R53" s="136"/>
      <c r="S53" s="136"/>
      <c r="T53" s="136"/>
      <c r="U53" s="136"/>
      <c r="V53" s="136"/>
      <c r="W53" s="136"/>
      <c r="X53" s="144"/>
      <c r="Y53" s="134"/>
      <c r="Z53" s="95"/>
      <c r="AA53" s="95"/>
      <c r="AB53" s="96"/>
      <c r="AC53" s="347"/>
      <c r="AD53" s="347"/>
      <c r="AE53" s="347"/>
      <c r="AF53" s="347"/>
      <c r="AI53" s="109" t="str">
        <f>"52:yakinhaiti_code:" &amp; IF(I53="■",1,IF(L53="■",2,0))</f>
        <v>52:yakinhaiti_code:0</v>
      </c>
    </row>
    <row r="54" spans="1:35" s="109" customFormat="1" ht="18.75" customHeight="1" x14ac:dyDescent="0.15">
      <c r="A54" s="97"/>
      <c r="B54" s="98"/>
      <c r="C54" s="210"/>
      <c r="D54" s="211"/>
      <c r="E54" s="101"/>
      <c r="F54" s="102"/>
      <c r="G54" s="101"/>
      <c r="H54" s="200" t="s">
        <v>113</v>
      </c>
      <c r="I54" s="130" t="s">
        <v>196</v>
      </c>
      <c r="J54" s="105" t="s">
        <v>153</v>
      </c>
      <c r="K54" s="154"/>
      <c r="L54" s="174" t="s">
        <v>196</v>
      </c>
      <c r="M54" s="105" t="s">
        <v>161</v>
      </c>
      <c r="N54" s="137"/>
      <c r="O54" s="136"/>
      <c r="P54" s="136"/>
      <c r="Q54" s="136"/>
      <c r="R54" s="136"/>
      <c r="S54" s="136"/>
      <c r="T54" s="136"/>
      <c r="U54" s="136"/>
      <c r="V54" s="136"/>
      <c r="W54" s="136"/>
      <c r="X54" s="144"/>
      <c r="Y54" s="134"/>
      <c r="Z54" s="95"/>
      <c r="AA54" s="95"/>
      <c r="AB54" s="96"/>
      <c r="AC54" s="347"/>
      <c r="AD54" s="347"/>
      <c r="AE54" s="347"/>
      <c r="AF54" s="347"/>
      <c r="AI54" s="109" t="str">
        <f>"52:ninti_riha_code:" &amp; IF(I54="■",1,IF(L54="■",2,0))</f>
        <v>52:ninti_riha_code:0</v>
      </c>
    </row>
    <row r="55" spans="1:35" s="109" customFormat="1" ht="18.75" customHeight="1" x14ac:dyDescent="0.15">
      <c r="A55" s="97"/>
      <c r="B55" s="98"/>
      <c r="C55" s="210"/>
      <c r="D55" s="211"/>
      <c r="E55" s="101"/>
      <c r="F55" s="102"/>
      <c r="G55" s="101"/>
      <c r="H55" s="200" t="s">
        <v>94</v>
      </c>
      <c r="I55" s="130" t="s">
        <v>196</v>
      </c>
      <c r="J55" s="105" t="s">
        <v>153</v>
      </c>
      <c r="K55" s="154"/>
      <c r="L55" s="174" t="s">
        <v>196</v>
      </c>
      <c r="M55" s="105" t="s">
        <v>161</v>
      </c>
      <c r="N55" s="137"/>
      <c r="O55" s="137"/>
      <c r="P55" s="137"/>
      <c r="Q55" s="137"/>
      <c r="R55" s="137"/>
      <c r="S55" s="137"/>
      <c r="T55" s="137"/>
      <c r="U55" s="137"/>
      <c r="V55" s="137"/>
      <c r="W55" s="137"/>
      <c r="X55" s="145"/>
      <c r="Y55" s="134"/>
      <c r="Z55" s="95"/>
      <c r="AA55" s="95"/>
      <c r="AB55" s="96"/>
      <c r="AC55" s="347"/>
      <c r="AD55" s="347"/>
      <c r="AE55" s="347"/>
      <c r="AF55" s="347"/>
      <c r="AI55" s="109" t="str">
        <f>"52:ninticare_code:" &amp; IF(I55="■",1,IF(L55="■",2,0))</f>
        <v>52:ninticare_code:0</v>
      </c>
    </row>
    <row r="56" spans="1:35" s="109" customFormat="1" ht="18.75" customHeight="1" x14ac:dyDescent="0.15">
      <c r="A56" s="97"/>
      <c r="B56" s="98"/>
      <c r="C56" s="210"/>
      <c r="D56" s="211"/>
      <c r="E56" s="101"/>
      <c r="F56" s="102"/>
      <c r="G56" s="101"/>
      <c r="H56" s="205" t="s">
        <v>114</v>
      </c>
      <c r="I56" s="130" t="s">
        <v>196</v>
      </c>
      <c r="J56" s="105" t="s">
        <v>153</v>
      </c>
      <c r="K56" s="154"/>
      <c r="L56" s="174" t="s">
        <v>196</v>
      </c>
      <c r="M56" s="105" t="s">
        <v>161</v>
      </c>
      <c r="N56" s="137"/>
      <c r="O56" s="137"/>
      <c r="P56" s="137"/>
      <c r="Q56" s="137"/>
      <c r="R56" s="137"/>
      <c r="S56" s="137"/>
      <c r="T56" s="137"/>
      <c r="U56" s="137"/>
      <c r="V56" s="137"/>
      <c r="W56" s="137"/>
      <c r="X56" s="145"/>
      <c r="Y56" s="134"/>
      <c r="Z56" s="95"/>
      <c r="AA56" s="95"/>
      <c r="AB56" s="96"/>
      <c r="AC56" s="347"/>
      <c r="AD56" s="347"/>
      <c r="AE56" s="347"/>
      <c r="AF56" s="347"/>
      <c r="AI56" s="109" t="str">
        <f>"52:jyakuninti_uke_code:" &amp; IF(I56="■",1,IF(L56="■",2,0))</f>
        <v>52:jyakuninti_uke_code:0</v>
      </c>
    </row>
    <row r="57" spans="1:35" s="109" customFormat="1" ht="18.75" customHeight="1" x14ac:dyDescent="0.15">
      <c r="A57" s="120" t="s">
        <v>196</v>
      </c>
      <c r="B57" s="98">
        <v>52</v>
      </c>
      <c r="C57" s="210" t="s">
        <v>126</v>
      </c>
      <c r="D57" s="120" t="s">
        <v>196</v>
      </c>
      <c r="E57" s="101" t="s">
        <v>202</v>
      </c>
      <c r="F57" s="120" t="s">
        <v>196</v>
      </c>
      <c r="G57" s="101" t="s">
        <v>181</v>
      </c>
      <c r="H57" s="205" t="s">
        <v>136</v>
      </c>
      <c r="I57" s="135" t="s">
        <v>196</v>
      </c>
      <c r="J57" s="136" t="s">
        <v>153</v>
      </c>
      <c r="K57" s="136"/>
      <c r="L57" s="139" t="s">
        <v>196</v>
      </c>
      <c r="M57" s="136" t="s">
        <v>154</v>
      </c>
      <c r="N57" s="136"/>
      <c r="O57" s="139" t="s">
        <v>196</v>
      </c>
      <c r="P57" s="136" t="s">
        <v>155</v>
      </c>
      <c r="Q57" s="137"/>
      <c r="R57" s="137"/>
      <c r="S57" s="136"/>
      <c r="T57" s="136"/>
      <c r="U57" s="136"/>
      <c r="V57" s="136"/>
      <c r="W57" s="136"/>
      <c r="X57" s="144"/>
      <c r="Y57" s="134"/>
      <c r="Z57" s="95"/>
      <c r="AA57" s="95"/>
      <c r="AB57" s="96"/>
      <c r="AC57" s="347"/>
      <c r="AD57" s="347"/>
      <c r="AE57" s="347"/>
      <c r="AF57" s="347"/>
      <c r="AI57" s="109" t="str">
        <f>"52:zaitaku_hukki_code:" &amp; IF(I57="■",1,IF(L57="■",2,IF(O57="■",3,0)))</f>
        <v>52:zaitaku_hukki_code:0</v>
      </c>
    </row>
    <row r="58" spans="1:35" s="109" customFormat="1" ht="18.75" customHeight="1" x14ac:dyDescent="0.15">
      <c r="A58" s="97"/>
      <c r="B58" s="98"/>
      <c r="C58" s="210"/>
      <c r="D58" s="211"/>
      <c r="E58" s="101"/>
      <c r="F58" s="120" t="s">
        <v>196</v>
      </c>
      <c r="G58" s="101" t="s">
        <v>182</v>
      </c>
      <c r="H58" s="200" t="s">
        <v>88</v>
      </c>
      <c r="I58" s="130" t="s">
        <v>196</v>
      </c>
      <c r="J58" s="105" t="s">
        <v>153</v>
      </c>
      <c r="K58" s="154"/>
      <c r="L58" s="174" t="s">
        <v>196</v>
      </c>
      <c r="M58" s="105" t="s">
        <v>161</v>
      </c>
      <c r="N58" s="137"/>
      <c r="O58" s="137"/>
      <c r="P58" s="137"/>
      <c r="Q58" s="137"/>
      <c r="R58" s="137"/>
      <c r="S58" s="137"/>
      <c r="T58" s="137"/>
      <c r="U58" s="137"/>
      <c r="V58" s="137"/>
      <c r="W58" s="137"/>
      <c r="X58" s="145"/>
      <c r="Y58" s="134"/>
      <c r="Z58" s="95"/>
      <c r="AA58" s="95"/>
      <c r="AB58" s="96"/>
      <c r="AC58" s="347"/>
      <c r="AD58" s="347"/>
      <c r="AE58" s="347"/>
      <c r="AF58" s="347"/>
      <c r="AI58" s="109" t="str">
        <f>"52:terminal_code:" &amp; IF(I58="■",1,IF(L58="■",2,0))</f>
        <v>52:terminal_code:0</v>
      </c>
    </row>
    <row r="59" spans="1:35" s="109" customFormat="1" ht="18.75" customHeight="1" x14ac:dyDescent="0.15">
      <c r="A59" s="97"/>
      <c r="B59" s="98"/>
      <c r="C59" s="210"/>
      <c r="D59" s="211"/>
      <c r="E59" s="101"/>
      <c r="F59" s="211"/>
      <c r="G59" s="101"/>
      <c r="H59" s="200" t="s">
        <v>129</v>
      </c>
      <c r="I59" s="130" t="s">
        <v>196</v>
      </c>
      <c r="J59" s="105" t="s">
        <v>153</v>
      </c>
      <c r="K59" s="154"/>
      <c r="L59" s="174" t="s">
        <v>196</v>
      </c>
      <c r="M59" s="105" t="s">
        <v>161</v>
      </c>
      <c r="N59" s="137"/>
      <c r="O59" s="137"/>
      <c r="P59" s="137"/>
      <c r="Q59" s="137"/>
      <c r="R59" s="137"/>
      <c r="S59" s="137"/>
      <c r="T59" s="137"/>
      <c r="U59" s="137"/>
      <c r="V59" s="137"/>
      <c r="W59" s="137"/>
      <c r="X59" s="145"/>
      <c r="Y59" s="134"/>
      <c r="Z59" s="95"/>
      <c r="AA59" s="95"/>
      <c r="AB59" s="96"/>
      <c r="AC59" s="347"/>
      <c r="AD59" s="347"/>
      <c r="AE59" s="347"/>
      <c r="AF59" s="347"/>
      <c r="AI59" s="109" t="str">
        <f>"52:field207:" &amp; IF(I59="■",1,IF(L59="■",2,0))</f>
        <v>52:field207:0</v>
      </c>
    </row>
    <row r="60" spans="1:35" s="109" customFormat="1" ht="18.75" customHeight="1" x14ac:dyDescent="0.15">
      <c r="A60" s="97"/>
      <c r="B60" s="98"/>
      <c r="C60" s="210"/>
      <c r="D60" s="211"/>
      <c r="E60" s="101"/>
      <c r="F60" s="211"/>
      <c r="G60" s="101"/>
      <c r="H60" s="200" t="s">
        <v>99</v>
      </c>
      <c r="I60" s="130" t="s">
        <v>196</v>
      </c>
      <c r="J60" s="105" t="s">
        <v>153</v>
      </c>
      <c r="K60" s="154"/>
      <c r="L60" s="174" t="s">
        <v>196</v>
      </c>
      <c r="M60" s="105" t="s">
        <v>161</v>
      </c>
      <c r="N60" s="137"/>
      <c r="O60" s="136"/>
      <c r="P60" s="136"/>
      <c r="Q60" s="136"/>
      <c r="R60" s="136"/>
      <c r="S60" s="136"/>
      <c r="T60" s="136"/>
      <c r="U60" s="136"/>
      <c r="V60" s="136"/>
      <c r="W60" s="136"/>
      <c r="X60" s="144"/>
      <c r="Y60" s="134"/>
      <c r="Z60" s="95"/>
      <c r="AA60" s="95"/>
      <c r="AB60" s="96"/>
      <c r="AC60" s="347"/>
      <c r="AD60" s="347"/>
      <c r="AE60" s="347"/>
      <c r="AF60" s="347"/>
      <c r="AI60" s="109" t="str">
        <f>"52:ryouyoushoku_code:" &amp; IF(I60="■",1,IF(L60="■",2,0))</f>
        <v>52:ryouyoushoku_code:0</v>
      </c>
    </row>
    <row r="61" spans="1:35" s="109" customFormat="1" ht="18.75" customHeight="1" x14ac:dyDescent="0.15">
      <c r="A61" s="97"/>
      <c r="B61" s="98"/>
      <c r="C61" s="210"/>
      <c r="D61" s="211"/>
      <c r="E61" s="101"/>
      <c r="F61" s="102"/>
      <c r="G61" s="101"/>
      <c r="H61" s="200" t="s">
        <v>102</v>
      </c>
      <c r="I61" s="135" t="s">
        <v>196</v>
      </c>
      <c r="J61" s="136" t="s">
        <v>153</v>
      </c>
      <c r="K61" s="136"/>
      <c r="L61" s="139" t="s">
        <v>196</v>
      </c>
      <c r="M61" s="136" t="s">
        <v>154</v>
      </c>
      <c r="N61" s="136"/>
      <c r="O61" s="139" t="s">
        <v>196</v>
      </c>
      <c r="P61" s="136" t="s">
        <v>155</v>
      </c>
      <c r="Q61" s="137"/>
      <c r="R61" s="137"/>
      <c r="S61" s="136"/>
      <c r="T61" s="136"/>
      <c r="U61" s="136"/>
      <c r="V61" s="136"/>
      <c r="W61" s="136"/>
      <c r="X61" s="144"/>
      <c r="Y61" s="134"/>
      <c r="Z61" s="95"/>
      <c r="AA61" s="95"/>
      <c r="AB61" s="96"/>
      <c r="AC61" s="347"/>
      <c r="AD61" s="347"/>
      <c r="AE61" s="347"/>
      <c r="AF61" s="347"/>
      <c r="AI61" s="109" t="str">
        <f>"52:ninti_senmoncare_code:" &amp; IF(I61="■",1,IF(O61="■",3,IF(L61="■",2,0)))</f>
        <v>52:ninti_senmoncare_code:0</v>
      </c>
    </row>
    <row r="62" spans="1:35" s="109" customFormat="1" ht="18.75" customHeight="1" x14ac:dyDescent="0.15">
      <c r="A62" s="97"/>
      <c r="B62" s="98"/>
      <c r="C62" s="210"/>
      <c r="D62" s="211"/>
      <c r="E62" s="101"/>
      <c r="F62" s="102"/>
      <c r="G62" s="101"/>
      <c r="H62" s="200" t="s">
        <v>225</v>
      </c>
      <c r="I62" s="135" t="s">
        <v>196</v>
      </c>
      <c r="J62" s="136" t="s">
        <v>153</v>
      </c>
      <c r="K62" s="136"/>
      <c r="L62" s="139" t="s">
        <v>196</v>
      </c>
      <c r="M62" s="136" t="s">
        <v>154</v>
      </c>
      <c r="N62" s="136"/>
      <c r="O62" s="139" t="s">
        <v>196</v>
      </c>
      <c r="P62" s="136" t="s">
        <v>155</v>
      </c>
      <c r="Q62" s="137"/>
      <c r="R62" s="137"/>
      <c r="S62" s="137"/>
      <c r="T62" s="137"/>
      <c r="U62" s="137"/>
      <c r="V62" s="137"/>
      <c r="W62" s="137"/>
      <c r="X62" s="145"/>
      <c r="Y62" s="134"/>
      <c r="Z62" s="95"/>
      <c r="AA62" s="95"/>
      <c r="AB62" s="96"/>
      <c r="AC62" s="347"/>
      <c r="AD62" s="347"/>
      <c r="AE62" s="347"/>
      <c r="AF62" s="347"/>
      <c r="AI62" s="109" t="str">
        <f>"52:field228:" &amp; IF(I62="■",1,IF(L62="■",2,IF(O62="■",3,0)))</f>
        <v>52:field228:0</v>
      </c>
    </row>
    <row r="63" spans="1:35" s="109" customFormat="1" ht="18.75" customHeight="1" x14ac:dyDescent="0.15">
      <c r="A63" s="97"/>
      <c r="B63" s="98"/>
      <c r="C63" s="210"/>
      <c r="D63" s="211"/>
      <c r="E63" s="101"/>
      <c r="F63" s="102"/>
      <c r="G63" s="101"/>
      <c r="H63" s="199" t="s">
        <v>139</v>
      </c>
      <c r="I63" s="130" t="s">
        <v>196</v>
      </c>
      <c r="J63" s="105" t="s">
        <v>153</v>
      </c>
      <c r="K63" s="154"/>
      <c r="L63" s="139" t="s">
        <v>196</v>
      </c>
      <c r="M63" s="136" t="s">
        <v>162</v>
      </c>
      <c r="N63" s="136"/>
      <c r="O63" s="139" t="s">
        <v>196</v>
      </c>
      <c r="P63" s="136" t="s">
        <v>163</v>
      </c>
      <c r="Q63" s="137"/>
      <c r="R63" s="137"/>
      <c r="S63" s="137"/>
      <c r="T63" s="137"/>
      <c r="U63" s="137"/>
      <c r="V63" s="137"/>
      <c r="W63" s="137"/>
      <c r="X63" s="145"/>
      <c r="Y63" s="134"/>
      <c r="Z63" s="95"/>
      <c r="AA63" s="95"/>
      <c r="AB63" s="96"/>
      <c r="AC63" s="347"/>
      <c r="AD63" s="347"/>
      <c r="AE63" s="347"/>
      <c r="AF63" s="347"/>
      <c r="AI63" s="109" t="str">
        <f>"52:field216:" &amp; IF(I63="■",1,IF(L63="■",2,IF(O63="■",3,0)))</f>
        <v>52:field216:0</v>
      </c>
    </row>
    <row r="64" spans="1:35" s="109" customFormat="1" ht="18.75" customHeight="1" x14ac:dyDescent="0.15">
      <c r="A64" s="97"/>
      <c r="B64" s="98"/>
      <c r="C64" s="210"/>
      <c r="D64" s="211"/>
      <c r="E64" s="101"/>
      <c r="F64" s="102"/>
      <c r="G64" s="101"/>
      <c r="H64" s="200" t="s">
        <v>124</v>
      </c>
      <c r="I64" s="130" t="s">
        <v>196</v>
      </c>
      <c r="J64" s="105" t="s">
        <v>153</v>
      </c>
      <c r="K64" s="154"/>
      <c r="L64" s="174" t="s">
        <v>196</v>
      </c>
      <c r="M64" s="105" t="s">
        <v>161</v>
      </c>
      <c r="N64" s="137"/>
      <c r="O64" s="137"/>
      <c r="P64" s="137"/>
      <c r="Q64" s="137"/>
      <c r="R64" s="137"/>
      <c r="S64" s="137"/>
      <c r="T64" s="137"/>
      <c r="U64" s="137"/>
      <c r="V64" s="137"/>
      <c r="W64" s="137"/>
      <c r="X64" s="145"/>
      <c r="Y64" s="134"/>
      <c r="Z64" s="95"/>
      <c r="AA64" s="95"/>
      <c r="AB64" s="96"/>
      <c r="AC64" s="347"/>
      <c r="AD64" s="347"/>
      <c r="AE64" s="347"/>
      <c r="AF64" s="347"/>
      <c r="AI64" s="109" t="str">
        <f>"52:field177:" &amp; IF(I64="■",1,IF(L64="■",2,0))</f>
        <v>52:field177:0</v>
      </c>
    </row>
    <row r="65" spans="1:36" s="109" customFormat="1" ht="18.75" customHeight="1" x14ac:dyDescent="0.15">
      <c r="A65" s="97"/>
      <c r="B65" s="98"/>
      <c r="C65" s="210"/>
      <c r="D65" s="211"/>
      <c r="E65" s="101"/>
      <c r="F65" s="102"/>
      <c r="G65" s="101"/>
      <c r="H65" s="199" t="s">
        <v>128</v>
      </c>
      <c r="I65" s="130" t="s">
        <v>196</v>
      </c>
      <c r="J65" s="105" t="s">
        <v>153</v>
      </c>
      <c r="K65" s="154"/>
      <c r="L65" s="174" t="s">
        <v>196</v>
      </c>
      <c r="M65" s="105" t="s">
        <v>161</v>
      </c>
      <c r="N65" s="137"/>
      <c r="O65" s="137"/>
      <c r="P65" s="137"/>
      <c r="Q65" s="137"/>
      <c r="R65" s="137"/>
      <c r="S65" s="137"/>
      <c r="T65" s="137"/>
      <c r="U65" s="137"/>
      <c r="V65" s="137"/>
      <c r="W65" s="137"/>
      <c r="X65" s="145"/>
      <c r="Y65" s="134"/>
      <c r="Z65" s="95"/>
      <c r="AA65" s="95"/>
      <c r="AB65" s="96"/>
      <c r="AC65" s="347"/>
      <c r="AD65" s="347"/>
      <c r="AE65" s="347"/>
      <c r="AF65" s="347"/>
      <c r="AI65" s="109" t="str">
        <f>"52:field210:" &amp; IF(I65="■",1,IF(L65="■",2,0))</f>
        <v>52:field210:0</v>
      </c>
    </row>
    <row r="66" spans="1:36" s="109" customFormat="1" ht="18.75" customHeight="1" x14ac:dyDescent="0.15">
      <c r="A66" s="97"/>
      <c r="B66" s="98"/>
      <c r="C66" s="210"/>
      <c r="D66" s="211"/>
      <c r="E66" s="101"/>
      <c r="F66" s="102"/>
      <c r="G66" s="101"/>
      <c r="H66" s="200" t="s">
        <v>138</v>
      </c>
      <c r="I66" s="130" t="s">
        <v>196</v>
      </c>
      <c r="J66" s="105" t="s">
        <v>153</v>
      </c>
      <c r="K66" s="154"/>
      <c r="L66" s="174" t="s">
        <v>196</v>
      </c>
      <c r="M66" s="105" t="s">
        <v>161</v>
      </c>
      <c r="N66" s="137"/>
      <c r="O66" s="137"/>
      <c r="P66" s="137"/>
      <c r="Q66" s="137"/>
      <c r="R66" s="137"/>
      <c r="S66" s="137"/>
      <c r="T66" s="137"/>
      <c r="U66" s="137"/>
      <c r="V66" s="137"/>
      <c r="W66" s="137"/>
      <c r="X66" s="145"/>
      <c r="Y66" s="134"/>
      <c r="Z66" s="95"/>
      <c r="AA66" s="95"/>
      <c r="AB66" s="96"/>
      <c r="AC66" s="347"/>
      <c r="AD66" s="347"/>
      <c r="AE66" s="347"/>
      <c r="AF66" s="347"/>
      <c r="AI66" s="109" t="str">
        <f>"52:field211:" &amp; IF(I66="■",1,IF(L66="■",2,0))</f>
        <v>52:field211:0</v>
      </c>
    </row>
    <row r="67" spans="1:36" s="109" customFormat="1" ht="18.75" customHeight="1" x14ac:dyDescent="0.15">
      <c r="A67" s="97"/>
      <c r="B67" s="98"/>
      <c r="C67" s="210"/>
      <c r="D67" s="211"/>
      <c r="E67" s="101"/>
      <c r="F67" s="102"/>
      <c r="G67" s="101"/>
      <c r="H67" s="200" t="s">
        <v>127</v>
      </c>
      <c r="I67" s="130" t="s">
        <v>196</v>
      </c>
      <c r="J67" s="105" t="s">
        <v>153</v>
      </c>
      <c r="K67" s="154"/>
      <c r="L67" s="174" t="s">
        <v>196</v>
      </c>
      <c r="M67" s="105" t="s">
        <v>161</v>
      </c>
      <c r="N67" s="137"/>
      <c r="O67" s="137"/>
      <c r="P67" s="137"/>
      <c r="Q67" s="137"/>
      <c r="R67" s="137"/>
      <c r="S67" s="137"/>
      <c r="T67" s="137"/>
      <c r="U67" s="137"/>
      <c r="V67" s="137"/>
      <c r="W67" s="137"/>
      <c r="X67" s="145"/>
      <c r="Y67" s="134"/>
      <c r="Z67" s="95"/>
      <c r="AA67" s="95"/>
      <c r="AB67" s="96"/>
      <c r="AC67" s="347"/>
      <c r="AD67" s="347"/>
      <c r="AE67" s="347"/>
      <c r="AF67" s="347"/>
      <c r="AI67" s="109" t="str">
        <f>"52:field212:" &amp; IF(I67="■",1,IF(L67="■",2,0))</f>
        <v>52:field212:0</v>
      </c>
    </row>
    <row r="68" spans="1:36" s="109" customFormat="1" ht="18.75" customHeight="1" x14ac:dyDescent="0.15">
      <c r="A68" s="97"/>
      <c r="B68" s="98"/>
      <c r="C68" s="210"/>
      <c r="D68" s="211"/>
      <c r="E68" s="101"/>
      <c r="F68" s="102"/>
      <c r="G68" s="101"/>
      <c r="H68" s="200" t="s">
        <v>133</v>
      </c>
      <c r="I68" s="130" t="s">
        <v>196</v>
      </c>
      <c r="J68" s="105" t="s">
        <v>153</v>
      </c>
      <c r="K68" s="154"/>
      <c r="L68" s="174" t="s">
        <v>196</v>
      </c>
      <c r="M68" s="105" t="s">
        <v>161</v>
      </c>
      <c r="N68" s="137"/>
      <c r="O68" s="137"/>
      <c r="P68" s="137"/>
      <c r="Q68" s="137"/>
      <c r="R68" s="137"/>
      <c r="S68" s="137"/>
      <c r="T68" s="137"/>
      <c r="U68" s="137"/>
      <c r="V68" s="137"/>
      <c r="W68" s="137"/>
      <c r="X68" s="145"/>
      <c r="Y68" s="134"/>
      <c r="Z68" s="95"/>
      <c r="AA68" s="95"/>
      <c r="AB68" s="96"/>
      <c r="AC68" s="347"/>
      <c r="AD68" s="347"/>
      <c r="AE68" s="347"/>
      <c r="AF68" s="347"/>
      <c r="AI68" s="109" t="str">
        <f>"52:field209:" &amp; IF(I68="■",1,IF(L68="■",2,0))</f>
        <v>52:field209:0</v>
      </c>
    </row>
    <row r="69" spans="1:36" s="109" customFormat="1" ht="18.75" customHeight="1" x14ac:dyDescent="0.15">
      <c r="A69" s="97"/>
      <c r="B69" s="98"/>
      <c r="C69" s="210"/>
      <c r="D69" s="211"/>
      <c r="E69" s="101"/>
      <c r="F69" s="102"/>
      <c r="G69" s="101"/>
      <c r="H69" s="200" t="s">
        <v>227</v>
      </c>
      <c r="I69" s="135" t="s">
        <v>196</v>
      </c>
      <c r="J69" s="136" t="s">
        <v>153</v>
      </c>
      <c r="K69" s="136"/>
      <c r="L69" s="139" t="s">
        <v>196</v>
      </c>
      <c r="M69" s="105" t="s">
        <v>161</v>
      </c>
      <c r="N69" s="136"/>
      <c r="O69" s="136"/>
      <c r="P69" s="136"/>
      <c r="Q69" s="137"/>
      <c r="R69" s="137"/>
      <c r="S69" s="137"/>
      <c r="T69" s="137"/>
      <c r="U69" s="137"/>
      <c r="V69" s="137"/>
      <c r="W69" s="137"/>
      <c r="X69" s="145"/>
      <c r="Y69" s="134"/>
      <c r="Z69" s="95"/>
      <c r="AA69" s="95"/>
      <c r="AB69" s="96"/>
      <c r="AC69" s="347"/>
      <c r="AD69" s="347"/>
      <c r="AE69" s="347"/>
      <c r="AF69" s="347"/>
      <c r="AI69" s="109" t="str">
        <f>"52:field226:" &amp; IF(I69="■",1,IF(L69="■",2,0))</f>
        <v>52:field226:0</v>
      </c>
    </row>
    <row r="70" spans="1:36" s="109" customFormat="1" ht="18.75" customHeight="1" x14ac:dyDescent="0.15">
      <c r="A70" s="97"/>
      <c r="B70" s="98"/>
      <c r="C70" s="210"/>
      <c r="D70" s="211"/>
      <c r="E70" s="101"/>
      <c r="F70" s="102"/>
      <c r="G70" s="101"/>
      <c r="H70" s="200" t="s">
        <v>228</v>
      </c>
      <c r="I70" s="135" t="s">
        <v>196</v>
      </c>
      <c r="J70" s="136" t="s">
        <v>153</v>
      </c>
      <c r="K70" s="136"/>
      <c r="L70" s="139" t="s">
        <v>196</v>
      </c>
      <c r="M70" s="105" t="s">
        <v>161</v>
      </c>
      <c r="N70" s="136"/>
      <c r="O70" s="136"/>
      <c r="P70" s="136"/>
      <c r="Q70" s="137"/>
      <c r="R70" s="137"/>
      <c r="S70" s="137"/>
      <c r="T70" s="137"/>
      <c r="U70" s="137"/>
      <c r="V70" s="137"/>
      <c r="W70" s="137"/>
      <c r="X70" s="145"/>
      <c r="Y70" s="134"/>
      <c r="Z70" s="95"/>
      <c r="AA70" s="95"/>
      <c r="AB70" s="96"/>
      <c r="AC70" s="347"/>
      <c r="AD70" s="347"/>
      <c r="AE70" s="347"/>
      <c r="AF70" s="347"/>
      <c r="AI70" s="109" t="str">
        <f>"52:field227:" &amp; IF(I70="■",1,IF(L70="■",2,0))</f>
        <v>52:field227:0</v>
      </c>
    </row>
    <row r="71" spans="1:36" s="109" customFormat="1" ht="18.75" customHeight="1" x14ac:dyDescent="0.15">
      <c r="A71" s="97"/>
      <c r="B71" s="98"/>
      <c r="C71" s="210"/>
      <c r="D71" s="211"/>
      <c r="E71" s="101"/>
      <c r="F71" s="102"/>
      <c r="G71" s="101"/>
      <c r="H71" s="213" t="s">
        <v>224</v>
      </c>
      <c r="I71" s="135" t="s">
        <v>196</v>
      </c>
      <c r="J71" s="136" t="s">
        <v>153</v>
      </c>
      <c r="K71" s="136"/>
      <c r="L71" s="139" t="s">
        <v>196</v>
      </c>
      <c r="M71" s="136" t="s">
        <v>154</v>
      </c>
      <c r="N71" s="136"/>
      <c r="O71" s="139" t="s">
        <v>196</v>
      </c>
      <c r="P71" s="136" t="s">
        <v>155</v>
      </c>
      <c r="Q71" s="141"/>
      <c r="R71" s="141"/>
      <c r="S71" s="141"/>
      <c r="T71" s="141"/>
      <c r="U71" s="214"/>
      <c r="V71" s="214"/>
      <c r="W71" s="214"/>
      <c r="X71" s="215"/>
      <c r="Y71" s="134"/>
      <c r="Z71" s="95"/>
      <c r="AA71" s="95"/>
      <c r="AB71" s="96"/>
      <c r="AC71" s="347"/>
      <c r="AD71" s="347"/>
      <c r="AE71" s="347"/>
      <c r="AF71" s="347"/>
      <c r="AI71" s="109" t="str">
        <f>"52:field225:" &amp; IF(I71="■",1,IF(L71="■",2,IF(O71="■",3,0)))</f>
        <v>52:field225:0</v>
      </c>
    </row>
    <row r="72" spans="1:36" s="109" customFormat="1" ht="18.75" customHeight="1" x14ac:dyDescent="0.15">
      <c r="A72" s="97"/>
      <c r="B72" s="98"/>
      <c r="C72" s="210"/>
      <c r="D72" s="211"/>
      <c r="E72" s="101"/>
      <c r="F72" s="102"/>
      <c r="G72" s="101"/>
      <c r="H72" s="200" t="s">
        <v>103</v>
      </c>
      <c r="I72" s="135" t="s">
        <v>196</v>
      </c>
      <c r="J72" s="136" t="s">
        <v>153</v>
      </c>
      <c r="K72" s="136"/>
      <c r="L72" s="139" t="s">
        <v>196</v>
      </c>
      <c r="M72" s="136" t="s">
        <v>157</v>
      </c>
      <c r="N72" s="136"/>
      <c r="O72" s="139" t="s">
        <v>196</v>
      </c>
      <c r="P72" s="136" t="s">
        <v>158</v>
      </c>
      <c r="Q72" s="177"/>
      <c r="R72" s="139" t="s">
        <v>196</v>
      </c>
      <c r="S72" s="136" t="s">
        <v>167</v>
      </c>
      <c r="T72" s="136"/>
      <c r="U72" s="136"/>
      <c r="V72" s="136"/>
      <c r="W72" s="136"/>
      <c r="X72" s="144"/>
      <c r="Y72" s="134"/>
      <c r="Z72" s="95"/>
      <c r="AA72" s="95"/>
      <c r="AB72" s="96"/>
      <c r="AC72" s="347"/>
      <c r="AD72" s="347"/>
      <c r="AE72" s="347"/>
      <c r="AF72" s="347"/>
      <c r="AI72" s="109" t="str">
        <f>"52:serteikyo_kyoka_code:" &amp; IF(I72="■",1,IF(L72="■",6,IF(O72="■",5,IF(R72="■",7,0))))</f>
        <v>52:serteikyo_kyoka_code:0</v>
      </c>
    </row>
    <row r="73" spans="1:36" s="109" customFormat="1" ht="18.75" customHeight="1" x14ac:dyDescent="0.15">
      <c r="A73" s="156"/>
      <c r="B73" s="157"/>
      <c r="C73" s="158"/>
      <c r="D73" s="159"/>
      <c r="E73" s="160"/>
      <c r="F73" s="161"/>
      <c r="G73" s="162"/>
      <c r="H73" s="85" t="s">
        <v>234</v>
      </c>
      <c r="I73" s="163" t="s">
        <v>196</v>
      </c>
      <c r="J73" s="86" t="s">
        <v>153</v>
      </c>
      <c r="K73" s="86"/>
      <c r="L73" s="164" t="s">
        <v>196</v>
      </c>
      <c r="M73" s="86" t="s">
        <v>218</v>
      </c>
      <c r="N73" s="87"/>
      <c r="O73" s="164" t="s">
        <v>196</v>
      </c>
      <c r="P73" s="89" t="s">
        <v>219</v>
      </c>
      <c r="Q73" s="88"/>
      <c r="R73" s="164" t="s">
        <v>196</v>
      </c>
      <c r="S73" s="86" t="s">
        <v>220</v>
      </c>
      <c r="T73" s="88"/>
      <c r="U73" s="164" t="s">
        <v>196</v>
      </c>
      <c r="V73" s="86" t="s">
        <v>221</v>
      </c>
      <c r="W73" s="90"/>
      <c r="X73" s="91"/>
      <c r="Y73" s="165"/>
      <c r="Z73" s="165"/>
      <c r="AA73" s="165"/>
      <c r="AB73" s="166"/>
      <c r="AC73" s="348"/>
      <c r="AD73" s="348"/>
      <c r="AE73" s="348"/>
      <c r="AF73" s="348"/>
      <c r="AI73" s="109" t="str">
        <f>"52:shoguukaizen_code:"&amp;IF(I73="■",1,IF(L73="■",7,IF(O73="■",8,IF(R73="■",9,IF(U73="■","A",0)))))</f>
        <v>52:shoguukaizen_code:0</v>
      </c>
    </row>
    <row r="74" spans="1:36" s="109" customFormat="1" ht="18.75" customHeight="1" x14ac:dyDescent="0.15">
      <c r="A74" s="122"/>
      <c r="B74" s="123"/>
      <c r="C74" s="221"/>
      <c r="D74" s="222"/>
      <c r="E74" s="117"/>
      <c r="F74" s="126"/>
      <c r="G74" s="117"/>
      <c r="H74" s="193" t="s">
        <v>92</v>
      </c>
      <c r="I74" s="167" t="s">
        <v>196</v>
      </c>
      <c r="J74" s="168" t="s">
        <v>179</v>
      </c>
      <c r="K74" s="169"/>
      <c r="L74" s="170"/>
      <c r="M74" s="171" t="s">
        <v>196</v>
      </c>
      <c r="N74" s="168" t="s">
        <v>180</v>
      </c>
      <c r="O74" s="172"/>
      <c r="P74" s="172"/>
      <c r="Q74" s="172"/>
      <c r="R74" s="172"/>
      <c r="S74" s="172"/>
      <c r="T74" s="172"/>
      <c r="U74" s="172"/>
      <c r="V74" s="172"/>
      <c r="W74" s="172"/>
      <c r="X74" s="173"/>
      <c r="Y74" s="129" t="s">
        <v>196</v>
      </c>
      <c r="Z74" s="115" t="s">
        <v>152</v>
      </c>
      <c r="AA74" s="115"/>
      <c r="AB74" s="128"/>
      <c r="AC74" s="346"/>
      <c r="AD74" s="346"/>
      <c r="AE74" s="346"/>
      <c r="AF74" s="346"/>
      <c r="AG74" s="109" t="str">
        <f>"ser_code = '" &amp; IF(A91="■",52,"") &amp; "'"</f>
        <v>ser_code = ''</v>
      </c>
      <c r="AI74" s="109" t="str">
        <f>"52:yakan_kinmu_code:" &amp; IF(I74="■",1,IF(M74="■",6,0))</f>
        <v>52:yakan_kinmu_code:0</v>
      </c>
      <c r="AJ74" s="109" t="str">
        <f>"52:field203:" &amp; IF(Y74="■",1,IF(Y75="■",2,0))</f>
        <v>52:field203:0</v>
      </c>
    </row>
    <row r="75" spans="1:36" s="109" customFormat="1" ht="18.75" customHeight="1" x14ac:dyDescent="0.15">
      <c r="A75" s="97"/>
      <c r="B75" s="98"/>
      <c r="C75" s="210"/>
      <c r="D75" s="211"/>
      <c r="E75" s="101"/>
      <c r="F75" s="102"/>
      <c r="G75" s="101"/>
      <c r="H75" s="349" t="s">
        <v>89</v>
      </c>
      <c r="I75" s="175" t="s">
        <v>196</v>
      </c>
      <c r="J75" s="147" t="s">
        <v>153</v>
      </c>
      <c r="K75" s="147"/>
      <c r="L75" s="179"/>
      <c r="M75" s="176" t="s">
        <v>196</v>
      </c>
      <c r="N75" s="147" t="s">
        <v>168</v>
      </c>
      <c r="O75" s="147"/>
      <c r="P75" s="179"/>
      <c r="Q75" s="176" t="s">
        <v>196</v>
      </c>
      <c r="R75" s="179" t="s">
        <v>169</v>
      </c>
      <c r="S75" s="179"/>
      <c r="T75" s="179"/>
      <c r="U75" s="176" t="s">
        <v>196</v>
      </c>
      <c r="V75" s="179" t="s">
        <v>170</v>
      </c>
      <c r="W75" s="179"/>
      <c r="X75" s="180"/>
      <c r="Y75" s="120" t="s">
        <v>196</v>
      </c>
      <c r="Z75" s="94" t="s">
        <v>156</v>
      </c>
      <c r="AA75" s="95"/>
      <c r="AB75" s="96"/>
      <c r="AC75" s="347"/>
      <c r="AD75" s="347"/>
      <c r="AE75" s="347"/>
      <c r="AF75" s="347"/>
      <c r="AG75" s="109" t="str">
        <f>"52:sisetukbn_code:" &amp; IF(D90="■",5,IF(D91="■",7,0))</f>
        <v>52:sisetukbn_code:0</v>
      </c>
      <c r="AI75" s="109" t="str">
        <f>"52:"&amp;IF(AND(I75="□",M75="□",Q75="□",U75="□",I76="□",M76="□",Q76="□",I77="□"),"ketu_doctor_code:0",IF(I75="■","ketu_doctor_code:1:ketu_kangos_code:1:ketu_kshoku_code:1:ketu_rryoho_code:1:ketu_sryoho_code:1:ketu_ksiensou_code:1:ketu_gengo_code:1",IF(M75="■","ketu_doctor_code:2","ketu_doctor_code:1")
&amp;IF(Q75="■",":ketu_kangos_code:2",":ketu_kangos_code:1")
&amp;IF(U75="■",":ketu_kshoku_code:2",":ketu_kshoku_code:1")
&amp;IF(I76="■",":ketu_rryoho_code:2",":ketu_rryoho_code:1")
&amp;IF(M76="■",":ketu_sryoho_code:2",":ketu_sryoho_code:1")
&amp;IF(Q76="■",":ketu_ksiensou_code:2",":ketu_ksiensou_code:1")
&amp;IF(I77="■",":ketu_gengo_code:2",":ketu_gengo_code:1")))</f>
        <v>52:ketu_doctor_code:0</v>
      </c>
    </row>
    <row r="76" spans="1:36" s="109" customFormat="1" ht="18.75" customHeight="1" x14ac:dyDescent="0.15">
      <c r="A76" s="97"/>
      <c r="B76" s="98"/>
      <c r="C76" s="210"/>
      <c r="D76" s="211"/>
      <c r="E76" s="101"/>
      <c r="F76" s="102"/>
      <c r="G76" s="101"/>
      <c r="H76" s="343"/>
      <c r="I76" s="120" t="s">
        <v>196</v>
      </c>
      <c r="J76" s="94" t="s">
        <v>171</v>
      </c>
      <c r="K76" s="94"/>
      <c r="L76" s="93"/>
      <c r="M76" s="114" t="s">
        <v>196</v>
      </c>
      <c r="N76" s="94" t="s">
        <v>172</v>
      </c>
      <c r="O76" s="94"/>
      <c r="P76" s="93"/>
      <c r="Q76" s="114" t="s">
        <v>196</v>
      </c>
      <c r="R76" s="93" t="s">
        <v>199</v>
      </c>
      <c r="S76" s="93"/>
      <c r="T76" s="93"/>
      <c r="U76" s="93"/>
      <c r="V76" s="93"/>
      <c r="W76" s="93"/>
      <c r="X76" s="153"/>
      <c r="Y76" s="134"/>
      <c r="Z76" s="95"/>
      <c r="AA76" s="95"/>
      <c r="AB76" s="96"/>
      <c r="AC76" s="347"/>
      <c r="AD76" s="347"/>
      <c r="AE76" s="347"/>
      <c r="AF76" s="347"/>
    </row>
    <row r="77" spans="1:36" s="109" customFormat="1" ht="18.75" customHeight="1" x14ac:dyDescent="0.15">
      <c r="A77" s="97"/>
      <c r="B77" s="98"/>
      <c r="C77" s="210"/>
      <c r="D77" s="211"/>
      <c r="E77" s="101"/>
      <c r="F77" s="102"/>
      <c r="G77" s="101"/>
      <c r="H77" s="350"/>
      <c r="I77" s="130" t="s">
        <v>196</v>
      </c>
      <c r="J77" s="105" t="s">
        <v>200</v>
      </c>
      <c r="K77" s="105"/>
      <c r="L77" s="131"/>
      <c r="M77" s="105"/>
      <c r="N77" s="105"/>
      <c r="O77" s="105"/>
      <c r="P77" s="131"/>
      <c r="Q77" s="105"/>
      <c r="R77" s="131"/>
      <c r="S77" s="131"/>
      <c r="T77" s="131"/>
      <c r="U77" s="131"/>
      <c r="V77" s="131"/>
      <c r="W77" s="131"/>
      <c r="X77" s="198"/>
      <c r="Y77" s="134"/>
      <c r="Z77" s="95"/>
      <c r="AA77" s="95"/>
      <c r="AB77" s="96"/>
      <c r="AC77" s="347"/>
      <c r="AD77" s="347"/>
      <c r="AE77" s="347"/>
      <c r="AF77" s="347"/>
    </row>
    <row r="78" spans="1:36" s="109" customFormat="1" ht="18.75" customHeight="1" x14ac:dyDescent="0.15">
      <c r="A78" s="97"/>
      <c r="B78" s="98"/>
      <c r="C78" s="210"/>
      <c r="D78" s="211"/>
      <c r="E78" s="101"/>
      <c r="F78" s="102"/>
      <c r="G78" s="101"/>
      <c r="H78" s="200" t="s">
        <v>93</v>
      </c>
      <c r="I78" s="135" t="s">
        <v>196</v>
      </c>
      <c r="J78" s="136" t="s">
        <v>159</v>
      </c>
      <c r="K78" s="137"/>
      <c r="L78" s="138"/>
      <c r="M78" s="139" t="s">
        <v>196</v>
      </c>
      <c r="N78" s="136" t="s">
        <v>160</v>
      </c>
      <c r="O78" s="137"/>
      <c r="P78" s="137"/>
      <c r="Q78" s="141"/>
      <c r="R78" s="141"/>
      <c r="S78" s="141"/>
      <c r="T78" s="141"/>
      <c r="U78" s="141"/>
      <c r="V78" s="141"/>
      <c r="W78" s="141"/>
      <c r="X78" s="142"/>
      <c r="Y78" s="134"/>
      <c r="Z78" s="95"/>
      <c r="AA78" s="95"/>
      <c r="AB78" s="96"/>
      <c r="AC78" s="347"/>
      <c r="AD78" s="347"/>
      <c r="AE78" s="347"/>
      <c r="AF78" s="347"/>
      <c r="AI78" s="109" t="str">
        <f>"52:unitcare_code:" &amp; IF(I78="■",1,IF(M78="■",2,0))</f>
        <v>52:unitcare_code:0</v>
      </c>
    </row>
    <row r="79" spans="1:36" s="109" customFormat="1" ht="18.75" customHeight="1" x14ac:dyDescent="0.15">
      <c r="A79" s="97"/>
      <c r="B79" s="98"/>
      <c r="C79" s="210"/>
      <c r="D79" s="211"/>
      <c r="E79" s="101"/>
      <c r="F79" s="102"/>
      <c r="G79" s="101"/>
      <c r="H79" s="200" t="s">
        <v>96</v>
      </c>
      <c r="I79" s="135" t="s">
        <v>196</v>
      </c>
      <c r="J79" s="136" t="s">
        <v>197</v>
      </c>
      <c r="K79" s="137"/>
      <c r="L79" s="138"/>
      <c r="M79" s="139" t="s">
        <v>196</v>
      </c>
      <c r="N79" s="136" t="s">
        <v>198</v>
      </c>
      <c r="O79" s="137"/>
      <c r="P79" s="137"/>
      <c r="Q79" s="141"/>
      <c r="R79" s="141"/>
      <c r="S79" s="141"/>
      <c r="T79" s="141"/>
      <c r="U79" s="141"/>
      <c r="V79" s="141"/>
      <c r="W79" s="141"/>
      <c r="X79" s="142"/>
      <c r="Y79" s="134"/>
      <c r="Z79" s="95"/>
      <c r="AA79" s="95"/>
      <c r="AB79" s="96"/>
      <c r="AC79" s="347"/>
      <c r="AD79" s="347"/>
      <c r="AE79" s="347"/>
      <c r="AF79" s="347"/>
      <c r="AI79" s="109" t="str">
        <f>"52:sintaikousoku_code:" &amp; IF(I79="■",1,IF(M79="■",2,0))</f>
        <v>52:sintaikousoku_code:0</v>
      </c>
    </row>
    <row r="80" spans="1:36" s="109" customFormat="1" ht="18.75" customHeight="1" x14ac:dyDescent="0.15">
      <c r="A80" s="97"/>
      <c r="B80" s="98"/>
      <c r="C80" s="210"/>
      <c r="D80" s="211"/>
      <c r="E80" s="101"/>
      <c r="F80" s="102"/>
      <c r="G80" s="101"/>
      <c r="H80" s="200" t="s">
        <v>130</v>
      </c>
      <c r="I80" s="135" t="s">
        <v>196</v>
      </c>
      <c r="J80" s="136" t="s">
        <v>197</v>
      </c>
      <c r="K80" s="137"/>
      <c r="L80" s="138"/>
      <c r="M80" s="139" t="s">
        <v>196</v>
      </c>
      <c r="N80" s="136" t="s">
        <v>198</v>
      </c>
      <c r="O80" s="137"/>
      <c r="P80" s="137"/>
      <c r="Q80" s="141"/>
      <c r="R80" s="141"/>
      <c r="S80" s="141"/>
      <c r="T80" s="141"/>
      <c r="U80" s="141"/>
      <c r="V80" s="141"/>
      <c r="W80" s="141"/>
      <c r="X80" s="142"/>
      <c r="Y80" s="134"/>
      <c r="Z80" s="95"/>
      <c r="AA80" s="95"/>
      <c r="AB80" s="96"/>
      <c r="AC80" s="347"/>
      <c r="AD80" s="347"/>
      <c r="AE80" s="347"/>
      <c r="AF80" s="347"/>
      <c r="AI80" s="109" t="str">
        <f>"52:field208:" &amp; IF(I80="■",1,IF(M80="■",2,0))</f>
        <v>52:field208:0</v>
      </c>
    </row>
    <row r="81" spans="1:38" s="109" customFormat="1" ht="19.5" customHeight="1" x14ac:dyDescent="0.15">
      <c r="A81" s="97"/>
      <c r="B81" s="98"/>
      <c r="C81" s="99"/>
      <c r="D81" s="100"/>
      <c r="E81" s="101"/>
      <c r="F81" s="102"/>
      <c r="G81" s="103"/>
      <c r="H81" s="104" t="s">
        <v>215</v>
      </c>
      <c r="I81" s="135" t="s">
        <v>196</v>
      </c>
      <c r="J81" s="136" t="s">
        <v>197</v>
      </c>
      <c r="K81" s="137"/>
      <c r="L81" s="138"/>
      <c r="M81" s="139" t="s">
        <v>196</v>
      </c>
      <c r="N81" s="136" t="s">
        <v>216</v>
      </c>
      <c r="O81" s="140"/>
      <c r="P81" s="136"/>
      <c r="Q81" s="141"/>
      <c r="R81" s="141"/>
      <c r="S81" s="141"/>
      <c r="T81" s="141"/>
      <c r="U81" s="141"/>
      <c r="V81" s="141"/>
      <c r="W81" s="141"/>
      <c r="X81" s="142"/>
      <c r="Y81" s="95"/>
      <c r="Z81" s="95"/>
      <c r="AA81" s="95"/>
      <c r="AB81" s="96"/>
      <c r="AC81" s="347"/>
      <c r="AD81" s="347"/>
      <c r="AE81" s="347"/>
      <c r="AF81" s="347"/>
      <c r="AI81" s="109" t="str">
        <f>"52:field223:" &amp; IF(I81="■",1,IF(M81="■",2,0))</f>
        <v>52:field223:0</v>
      </c>
    </row>
    <row r="82" spans="1:38" s="109" customFormat="1" ht="19.5" customHeight="1" x14ac:dyDescent="0.15">
      <c r="A82" s="97"/>
      <c r="B82" s="98"/>
      <c r="C82" s="99"/>
      <c r="D82" s="100"/>
      <c r="E82" s="101"/>
      <c r="F82" s="102"/>
      <c r="G82" s="103"/>
      <c r="H82" s="104" t="s">
        <v>226</v>
      </c>
      <c r="I82" s="135" t="s">
        <v>196</v>
      </c>
      <c r="J82" s="136" t="s">
        <v>197</v>
      </c>
      <c r="K82" s="137"/>
      <c r="L82" s="138"/>
      <c r="M82" s="139" t="s">
        <v>196</v>
      </c>
      <c r="N82" s="136" t="s">
        <v>216</v>
      </c>
      <c r="O82" s="140"/>
      <c r="P82" s="136"/>
      <c r="Q82" s="141"/>
      <c r="R82" s="141"/>
      <c r="S82" s="141"/>
      <c r="T82" s="141"/>
      <c r="U82" s="141"/>
      <c r="V82" s="141"/>
      <c r="W82" s="141"/>
      <c r="X82" s="142"/>
      <c r="Y82" s="95"/>
      <c r="Z82" s="95"/>
      <c r="AA82" s="95"/>
      <c r="AB82" s="96"/>
      <c r="AC82" s="347"/>
      <c r="AD82" s="347"/>
      <c r="AE82" s="347"/>
      <c r="AF82" s="347"/>
      <c r="AI82" s="109" t="str">
        <f>"52:field232:" &amp; IF(I82="■",1,IF(M82="■",2,0))</f>
        <v>52:field232:0</v>
      </c>
    </row>
    <row r="83" spans="1:38" s="109" customFormat="1" ht="37.5" customHeight="1" x14ac:dyDescent="0.15">
      <c r="A83" s="97"/>
      <c r="B83" s="98"/>
      <c r="C83" s="210"/>
      <c r="D83" s="211"/>
      <c r="E83" s="101"/>
      <c r="F83" s="102"/>
      <c r="G83" s="101"/>
      <c r="H83" s="143" t="s">
        <v>131</v>
      </c>
      <c r="I83" s="130" t="s">
        <v>196</v>
      </c>
      <c r="J83" s="105" t="s">
        <v>153</v>
      </c>
      <c r="K83" s="154"/>
      <c r="L83" s="174" t="s">
        <v>196</v>
      </c>
      <c r="M83" s="105" t="s">
        <v>161</v>
      </c>
      <c r="N83" s="137"/>
      <c r="O83" s="177"/>
      <c r="P83" s="177"/>
      <c r="Q83" s="177"/>
      <c r="R83" s="177"/>
      <c r="S83" s="177"/>
      <c r="T83" s="177"/>
      <c r="U83" s="177"/>
      <c r="V83" s="177"/>
      <c r="W83" s="177"/>
      <c r="X83" s="178"/>
      <c r="Y83" s="134"/>
      <c r="Z83" s="95"/>
      <c r="AA83" s="95"/>
      <c r="AB83" s="96"/>
      <c r="AC83" s="347"/>
      <c r="AD83" s="347"/>
      <c r="AE83" s="347"/>
      <c r="AF83" s="347"/>
      <c r="AI83" s="109" t="str">
        <f>"52:field206:" &amp; IF(I83="■",1,IF(L83="■",2,0))</f>
        <v>52:field206:0</v>
      </c>
    </row>
    <row r="84" spans="1:38" ht="19.5" customHeight="1" x14ac:dyDescent="0.15">
      <c r="A84" s="97"/>
      <c r="B84" s="98"/>
      <c r="C84" s="99"/>
      <c r="D84" s="100"/>
      <c r="E84" s="101"/>
      <c r="F84" s="102"/>
      <c r="G84" s="103"/>
      <c r="H84" s="104" t="s">
        <v>251</v>
      </c>
      <c r="I84" s="135" t="s">
        <v>196</v>
      </c>
      <c r="J84" s="105" t="s">
        <v>249</v>
      </c>
      <c r="K84" s="154"/>
      <c r="L84" s="106"/>
      <c r="M84" s="139" t="s">
        <v>196</v>
      </c>
      <c r="N84" s="105" t="s">
        <v>250</v>
      </c>
      <c r="O84" s="208"/>
      <c r="P84" s="105"/>
      <c r="Q84" s="132"/>
      <c r="R84" s="132"/>
      <c r="S84" s="132"/>
      <c r="T84" s="132"/>
      <c r="U84" s="132"/>
      <c r="V84" s="132"/>
      <c r="W84" s="132"/>
      <c r="X84" s="133"/>
      <c r="Y84" s="150"/>
      <c r="Z84" s="94"/>
      <c r="AA84" s="95"/>
      <c r="AB84" s="96"/>
      <c r="AC84" s="347"/>
      <c r="AD84" s="347"/>
      <c r="AE84" s="347"/>
      <c r="AF84" s="347"/>
      <c r="AG84" s="93"/>
      <c r="AH84" s="93"/>
      <c r="AI84" s="109" t="str">
        <f>"52:field242:" &amp; IF(I84="■",1,IF(M84="■",2,0))</f>
        <v>52:field242:0</v>
      </c>
      <c r="AJ84" s="93"/>
      <c r="AK84" s="93"/>
      <c r="AL84" s="93"/>
    </row>
    <row r="85" spans="1:38" s="109" customFormat="1" ht="18.75" customHeight="1" x14ac:dyDescent="0.15">
      <c r="A85" s="97"/>
      <c r="B85" s="98"/>
      <c r="C85" s="210"/>
      <c r="D85" s="211"/>
      <c r="E85" s="101"/>
      <c r="F85" s="102"/>
      <c r="G85" s="101"/>
      <c r="H85" s="200" t="s">
        <v>98</v>
      </c>
      <c r="I85" s="130" t="s">
        <v>196</v>
      </c>
      <c r="J85" s="105" t="s">
        <v>153</v>
      </c>
      <c r="K85" s="154"/>
      <c r="L85" s="174" t="s">
        <v>196</v>
      </c>
      <c r="M85" s="105" t="s">
        <v>161</v>
      </c>
      <c r="N85" s="137"/>
      <c r="O85" s="141"/>
      <c r="P85" s="141"/>
      <c r="Q85" s="141"/>
      <c r="R85" s="141"/>
      <c r="S85" s="141"/>
      <c r="T85" s="141"/>
      <c r="U85" s="141"/>
      <c r="V85" s="141"/>
      <c r="W85" s="141"/>
      <c r="X85" s="142"/>
      <c r="Y85" s="134"/>
      <c r="Z85" s="95"/>
      <c r="AA85" s="95"/>
      <c r="AB85" s="96"/>
      <c r="AC85" s="347"/>
      <c r="AD85" s="347"/>
      <c r="AE85" s="347"/>
      <c r="AF85" s="347"/>
      <c r="AI85" s="109" t="str">
        <f>"52:yakinhaiti_code:" &amp; IF(I85="■",1,IF(L85="■",2,0))</f>
        <v>52:yakinhaiti_code:0</v>
      </c>
    </row>
    <row r="86" spans="1:38" s="109" customFormat="1" ht="18.75" customHeight="1" x14ac:dyDescent="0.15">
      <c r="A86" s="97"/>
      <c r="B86" s="98"/>
      <c r="C86" s="210"/>
      <c r="D86" s="211"/>
      <c r="E86" s="101"/>
      <c r="F86" s="102"/>
      <c r="G86" s="101"/>
      <c r="H86" s="200" t="s">
        <v>113</v>
      </c>
      <c r="I86" s="130" t="s">
        <v>196</v>
      </c>
      <c r="J86" s="105" t="s">
        <v>153</v>
      </c>
      <c r="K86" s="154"/>
      <c r="L86" s="174" t="s">
        <v>196</v>
      </c>
      <c r="M86" s="105" t="s">
        <v>161</v>
      </c>
      <c r="N86" s="137"/>
      <c r="O86" s="136"/>
      <c r="P86" s="136"/>
      <c r="Q86" s="136"/>
      <c r="R86" s="136"/>
      <c r="S86" s="136"/>
      <c r="T86" s="136"/>
      <c r="U86" s="136"/>
      <c r="V86" s="136"/>
      <c r="W86" s="136"/>
      <c r="X86" s="144"/>
      <c r="Y86" s="134"/>
      <c r="Z86" s="95"/>
      <c r="AA86" s="95"/>
      <c r="AB86" s="96"/>
      <c r="AC86" s="347"/>
      <c r="AD86" s="347"/>
      <c r="AE86" s="347"/>
      <c r="AF86" s="347"/>
      <c r="AI86" s="109" t="str">
        <f>"52:ninti_riha_code:" &amp; IF(I86="■",1,IF(L86="■",2,0))</f>
        <v>52:ninti_riha_code:0</v>
      </c>
    </row>
    <row r="87" spans="1:38" s="109" customFormat="1" ht="18.75" customHeight="1" x14ac:dyDescent="0.15">
      <c r="A87" s="97"/>
      <c r="B87" s="98"/>
      <c r="C87" s="210"/>
      <c r="D87" s="211"/>
      <c r="E87" s="101"/>
      <c r="F87" s="102"/>
      <c r="G87" s="101"/>
      <c r="H87" s="200" t="s">
        <v>94</v>
      </c>
      <c r="I87" s="130" t="s">
        <v>196</v>
      </c>
      <c r="J87" s="105" t="s">
        <v>153</v>
      </c>
      <c r="K87" s="154"/>
      <c r="L87" s="174" t="s">
        <v>196</v>
      </c>
      <c r="M87" s="105" t="s">
        <v>161</v>
      </c>
      <c r="N87" s="137"/>
      <c r="O87" s="141"/>
      <c r="P87" s="141"/>
      <c r="Q87" s="141"/>
      <c r="R87" s="141"/>
      <c r="S87" s="141"/>
      <c r="T87" s="141"/>
      <c r="U87" s="141"/>
      <c r="V87" s="141"/>
      <c r="W87" s="141"/>
      <c r="X87" s="142"/>
      <c r="Y87" s="134"/>
      <c r="Z87" s="95"/>
      <c r="AA87" s="95"/>
      <c r="AB87" s="96"/>
      <c r="AC87" s="347"/>
      <c r="AD87" s="347"/>
      <c r="AE87" s="347"/>
      <c r="AF87" s="347"/>
      <c r="AI87" s="109" t="str">
        <f>"52:ninticare_code:" &amp; IF(I87="■",1,IF(L87="■",2,0))</f>
        <v>52:ninticare_code:0</v>
      </c>
    </row>
    <row r="88" spans="1:38" s="109" customFormat="1" ht="18.75" customHeight="1" x14ac:dyDescent="0.15">
      <c r="A88" s="97"/>
      <c r="B88" s="98"/>
      <c r="C88" s="210"/>
      <c r="D88" s="211"/>
      <c r="E88" s="101"/>
      <c r="F88" s="102"/>
      <c r="G88" s="101"/>
      <c r="H88" s="205" t="s">
        <v>114</v>
      </c>
      <c r="I88" s="130" t="s">
        <v>196</v>
      </c>
      <c r="J88" s="105" t="s">
        <v>153</v>
      </c>
      <c r="K88" s="154"/>
      <c r="L88" s="174" t="s">
        <v>196</v>
      </c>
      <c r="M88" s="105" t="s">
        <v>161</v>
      </c>
      <c r="N88" s="137"/>
      <c r="O88" s="141"/>
      <c r="P88" s="141"/>
      <c r="Q88" s="141"/>
      <c r="R88" s="141"/>
      <c r="S88" s="141"/>
      <c r="T88" s="141"/>
      <c r="U88" s="141"/>
      <c r="V88" s="141"/>
      <c r="W88" s="141"/>
      <c r="X88" s="142"/>
      <c r="Y88" s="134"/>
      <c r="Z88" s="95"/>
      <c r="AA88" s="95"/>
      <c r="AB88" s="96"/>
      <c r="AC88" s="347"/>
      <c r="AD88" s="347"/>
      <c r="AE88" s="347"/>
      <c r="AF88" s="347"/>
      <c r="AI88" s="109" t="str">
        <f>"52:jyakuninti_uke_code:" &amp; IF(I88="■",1,IF(L88="■",2,0))</f>
        <v>52:jyakuninti_uke_code:0</v>
      </c>
    </row>
    <row r="89" spans="1:38" s="109" customFormat="1" ht="18.75" customHeight="1" x14ac:dyDescent="0.15">
      <c r="A89" s="97"/>
      <c r="B89" s="98"/>
      <c r="C89" s="210"/>
      <c r="D89" s="211"/>
      <c r="E89" s="101"/>
      <c r="F89" s="102"/>
      <c r="G89" s="101"/>
      <c r="H89" s="200" t="s">
        <v>88</v>
      </c>
      <c r="I89" s="130" t="s">
        <v>196</v>
      </c>
      <c r="J89" s="105" t="s">
        <v>153</v>
      </c>
      <c r="K89" s="154"/>
      <c r="L89" s="174" t="s">
        <v>196</v>
      </c>
      <c r="M89" s="105" t="s">
        <v>161</v>
      </c>
      <c r="N89" s="137"/>
      <c r="O89" s="141"/>
      <c r="P89" s="141"/>
      <c r="Q89" s="141"/>
      <c r="R89" s="141"/>
      <c r="S89" s="141"/>
      <c r="T89" s="141"/>
      <c r="U89" s="141"/>
      <c r="V89" s="141"/>
      <c r="W89" s="141"/>
      <c r="X89" s="142"/>
      <c r="Y89" s="134"/>
      <c r="Z89" s="95"/>
      <c r="AA89" s="95"/>
      <c r="AB89" s="96"/>
      <c r="AC89" s="347"/>
      <c r="AD89" s="347"/>
      <c r="AE89" s="347"/>
      <c r="AF89" s="347"/>
      <c r="AI89" s="109" t="str">
        <f>"52:terminal_code:" &amp; IF(I89="■",1,IF(L89="■",2,0))</f>
        <v>52:terminal_code:0</v>
      </c>
    </row>
    <row r="90" spans="1:38" s="109" customFormat="1" ht="18.75" customHeight="1" x14ac:dyDescent="0.15">
      <c r="A90" s="97"/>
      <c r="B90" s="98"/>
      <c r="C90" s="210"/>
      <c r="D90" s="120" t="s">
        <v>196</v>
      </c>
      <c r="E90" s="101" t="s">
        <v>207</v>
      </c>
      <c r="F90" s="102"/>
      <c r="G90" s="101"/>
      <c r="H90" s="200" t="s">
        <v>104</v>
      </c>
      <c r="I90" s="135" t="s">
        <v>196</v>
      </c>
      <c r="J90" s="136" t="s">
        <v>188</v>
      </c>
      <c r="K90" s="136"/>
      <c r="L90" s="141"/>
      <c r="M90" s="141"/>
      <c r="N90" s="141"/>
      <c r="O90" s="141"/>
      <c r="P90" s="139" t="s">
        <v>196</v>
      </c>
      <c r="Q90" s="136" t="s">
        <v>189</v>
      </c>
      <c r="R90" s="141"/>
      <c r="S90" s="141"/>
      <c r="T90" s="141"/>
      <c r="U90" s="141"/>
      <c r="V90" s="141"/>
      <c r="W90" s="141"/>
      <c r="X90" s="142"/>
      <c r="Y90" s="134"/>
      <c r="Z90" s="95"/>
      <c r="AA90" s="95"/>
      <c r="AB90" s="96"/>
      <c r="AC90" s="347"/>
      <c r="AD90" s="347"/>
      <c r="AE90" s="347"/>
      <c r="AF90" s="347"/>
      <c r="AI90" s="109" t="str">
        <f>"52:" &amp; IF(AND(I90="□",P90="□"),"tokusin_jyusho_code:0:tokusin_yakuzai_code:0",IF(I90="■","tokusin_jyusho_code:2","tokusin_jyusho_code:1")
&amp;IF(P90="■",":tokusin_yakuzai_code:2",":tokusin_yakuzai_code:1"))</f>
        <v>52:tokusin_jyusho_code:0:tokusin_yakuzai_code:0</v>
      </c>
    </row>
    <row r="91" spans="1:38" s="109" customFormat="1" ht="18.75" customHeight="1" x14ac:dyDescent="0.15">
      <c r="A91" s="120" t="s">
        <v>196</v>
      </c>
      <c r="B91" s="98">
        <v>52</v>
      </c>
      <c r="C91" s="210" t="s">
        <v>211</v>
      </c>
      <c r="D91" s="120" t="s">
        <v>196</v>
      </c>
      <c r="E91" s="101" t="s">
        <v>209</v>
      </c>
      <c r="F91" s="102"/>
      <c r="G91" s="101"/>
      <c r="H91" s="200" t="s">
        <v>117</v>
      </c>
      <c r="I91" s="130" t="s">
        <v>196</v>
      </c>
      <c r="J91" s="105" t="s">
        <v>153</v>
      </c>
      <c r="K91" s="154"/>
      <c r="L91" s="174" t="s">
        <v>196</v>
      </c>
      <c r="M91" s="105" t="s">
        <v>161</v>
      </c>
      <c r="N91" s="137"/>
      <c r="O91" s="177"/>
      <c r="P91" s="177"/>
      <c r="Q91" s="177"/>
      <c r="R91" s="177"/>
      <c r="S91" s="177"/>
      <c r="T91" s="177"/>
      <c r="U91" s="177"/>
      <c r="V91" s="177"/>
      <c r="W91" s="177"/>
      <c r="X91" s="178"/>
      <c r="Y91" s="134"/>
      <c r="Z91" s="95"/>
      <c r="AA91" s="95"/>
      <c r="AB91" s="96"/>
      <c r="AC91" s="347"/>
      <c r="AD91" s="347"/>
      <c r="AE91" s="347"/>
      <c r="AF91" s="347"/>
      <c r="AI91" s="109" t="str">
        <f>"52:field198:" &amp; IF(I91="■",1,IF(L91="■",2,0))</f>
        <v>52:field198:0</v>
      </c>
    </row>
    <row r="92" spans="1:38" s="109" customFormat="1" ht="18.75" customHeight="1" x14ac:dyDescent="0.15">
      <c r="A92" s="97"/>
      <c r="B92" s="98"/>
      <c r="C92" s="210"/>
      <c r="D92" s="97"/>
      <c r="E92" s="101"/>
      <c r="F92" s="102"/>
      <c r="G92" s="101"/>
      <c r="H92" s="200" t="s">
        <v>119</v>
      </c>
      <c r="I92" s="130" t="s">
        <v>196</v>
      </c>
      <c r="J92" s="105" t="s">
        <v>153</v>
      </c>
      <c r="K92" s="154"/>
      <c r="L92" s="174" t="s">
        <v>196</v>
      </c>
      <c r="M92" s="105" t="s">
        <v>161</v>
      </c>
      <c r="N92" s="137"/>
      <c r="O92" s="177"/>
      <c r="P92" s="177"/>
      <c r="Q92" s="177"/>
      <c r="R92" s="177"/>
      <c r="S92" s="177"/>
      <c r="T92" s="177"/>
      <c r="U92" s="177"/>
      <c r="V92" s="177"/>
      <c r="W92" s="177"/>
      <c r="X92" s="178"/>
      <c r="Y92" s="134"/>
      <c r="Z92" s="95"/>
      <c r="AA92" s="95"/>
      <c r="AB92" s="96"/>
      <c r="AC92" s="347"/>
      <c r="AD92" s="347"/>
      <c r="AE92" s="347"/>
      <c r="AF92" s="347"/>
      <c r="AI92" s="109" t="str">
        <f>"52:field199:" &amp; IF(I92="■",1,IF(L92="■",2,0))</f>
        <v>52:field199:0</v>
      </c>
    </row>
    <row r="93" spans="1:38" s="109" customFormat="1" ht="18.75" customHeight="1" x14ac:dyDescent="0.15">
      <c r="A93" s="97"/>
      <c r="B93" s="98"/>
      <c r="C93" s="210"/>
      <c r="D93" s="211"/>
      <c r="E93" s="101"/>
      <c r="F93" s="102"/>
      <c r="G93" s="101"/>
      <c r="H93" s="200" t="s">
        <v>129</v>
      </c>
      <c r="I93" s="130" t="s">
        <v>196</v>
      </c>
      <c r="J93" s="105" t="s">
        <v>153</v>
      </c>
      <c r="K93" s="154"/>
      <c r="L93" s="174" t="s">
        <v>196</v>
      </c>
      <c r="M93" s="105" t="s">
        <v>161</v>
      </c>
      <c r="N93" s="137"/>
      <c r="O93" s="141"/>
      <c r="P93" s="141"/>
      <c r="Q93" s="141"/>
      <c r="R93" s="141"/>
      <c r="S93" s="141"/>
      <c r="T93" s="141"/>
      <c r="U93" s="141"/>
      <c r="V93" s="141"/>
      <c r="W93" s="141"/>
      <c r="X93" s="142"/>
      <c r="Y93" s="134"/>
      <c r="Z93" s="95"/>
      <c r="AA93" s="95"/>
      <c r="AB93" s="96"/>
      <c r="AC93" s="347"/>
      <c r="AD93" s="347"/>
      <c r="AE93" s="347"/>
      <c r="AF93" s="347"/>
      <c r="AI93" s="109" t="str">
        <f>"52:field207:" &amp; IF(I93="■",1,IF(L93="■",2,0))</f>
        <v>52:field207:0</v>
      </c>
    </row>
    <row r="94" spans="1:38" s="109" customFormat="1" ht="18.75" customHeight="1" x14ac:dyDescent="0.15">
      <c r="A94" s="97"/>
      <c r="B94" s="98"/>
      <c r="C94" s="210"/>
      <c r="D94" s="97"/>
      <c r="E94" s="101"/>
      <c r="F94" s="102"/>
      <c r="G94" s="101"/>
      <c r="H94" s="200" t="s">
        <v>99</v>
      </c>
      <c r="I94" s="130" t="s">
        <v>196</v>
      </c>
      <c r="J94" s="105" t="s">
        <v>153</v>
      </c>
      <c r="K94" s="154"/>
      <c r="L94" s="174" t="s">
        <v>196</v>
      </c>
      <c r="M94" s="105" t="s">
        <v>161</v>
      </c>
      <c r="N94" s="137"/>
      <c r="O94" s="141"/>
      <c r="P94" s="141"/>
      <c r="Q94" s="141"/>
      <c r="R94" s="141"/>
      <c r="S94" s="141"/>
      <c r="T94" s="141"/>
      <c r="U94" s="141"/>
      <c r="V94" s="141"/>
      <c r="W94" s="141"/>
      <c r="X94" s="142"/>
      <c r="Y94" s="134"/>
      <c r="Z94" s="95"/>
      <c r="AA94" s="95"/>
      <c r="AB94" s="96"/>
      <c r="AC94" s="347"/>
      <c r="AD94" s="347"/>
      <c r="AE94" s="347"/>
      <c r="AF94" s="347"/>
      <c r="AI94" s="109" t="str">
        <f>"52:ryouyoushoku_code:" &amp; IF(I94="■",1,IF(L94="■",2,0))</f>
        <v>52:ryouyoushoku_code:0</v>
      </c>
    </row>
    <row r="95" spans="1:38" s="109" customFormat="1" ht="18.75" customHeight="1" x14ac:dyDescent="0.15">
      <c r="A95" s="97"/>
      <c r="B95" s="98"/>
      <c r="C95" s="210"/>
      <c r="D95" s="211"/>
      <c r="E95" s="101"/>
      <c r="F95" s="102"/>
      <c r="G95" s="101"/>
      <c r="H95" s="200" t="s">
        <v>102</v>
      </c>
      <c r="I95" s="135" t="s">
        <v>196</v>
      </c>
      <c r="J95" s="136" t="s">
        <v>153</v>
      </c>
      <c r="K95" s="136"/>
      <c r="L95" s="139" t="s">
        <v>196</v>
      </c>
      <c r="M95" s="136" t="s">
        <v>154</v>
      </c>
      <c r="N95" s="136"/>
      <c r="O95" s="139" t="s">
        <v>196</v>
      </c>
      <c r="P95" s="136" t="s">
        <v>155</v>
      </c>
      <c r="Q95" s="141"/>
      <c r="R95" s="141"/>
      <c r="S95" s="141"/>
      <c r="T95" s="141"/>
      <c r="U95" s="141"/>
      <c r="V95" s="141"/>
      <c r="W95" s="141"/>
      <c r="X95" s="142"/>
      <c r="Y95" s="134"/>
      <c r="Z95" s="95"/>
      <c r="AA95" s="95"/>
      <c r="AB95" s="96"/>
      <c r="AC95" s="347"/>
      <c r="AD95" s="347"/>
      <c r="AE95" s="347"/>
      <c r="AF95" s="347"/>
      <c r="AI95" s="109" t="str">
        <f>"52:ninti_senmoncare_code:" &amp; IF(I95="■",1,IF(O95="■",3,IF(L95="■",2,0)))</f>
        <v>52:ninti_senmoncare_code:0</v>
      </c>
    </row>
    <row r="96" spans="1:38" s="109" customFormat="1" ht="18.75" customHeight="1" x14ac:dyDescent="0.15">
      <c r="A96" s="97"/>
      <c r="B96" s="98"/>
      <c r="C96" s="210"/>
      <c r="D96" s="211"/>
      <c r="E96" s="101"/>
      <c r="F96" s="102"/>
      <c r="G96" s="101"/>
      <c r="H96" s="200" t="s">
        <v>225</v>
      </c>
      <c r="I96" s="135" t="s">
        <v>196</v>
      </c>
      <c r="J96" s="136" t="s">
        <v>153</v>
      </c>
      <c r="K96" s="136"/>
      <c r="L96" s="139" t="s">
        <v>196</v>
      </c>
      <c r="M96" s="136" t="s">
        <v>154</v>
      </c>
      <c r="N96" s="136"/>
      <c r="O96" s="139" t="s">
        <v>196</v>
      </c>
      <c r="P96" s="136" t="s">
        <v>155</v>
      </c>
      <c r="Q96" s="137"/>
      <c r="R96" s="137"/>
      <c r="S96" s="137"/>
      <c r="T96" s="137"/>
      <c r="U96" s="137"/>
      <c r="V96" s="137"/>
      <c r="W96" s="137"/>
      <c r="X96" s="145"/>
      <c r="Y96" s="134"/>
      <c r="Z96" s="95"/>
      <c r="AA96" s="95"/>
      <c r="AB96" s="96"/>
      <c r="AC96" s="347"/>
      <c r="AD96" s="347"/>
      <c r="AE96" s="347"/>
      <c r="AF96" s="347"/>
      <c r="AI96" s="109" t="str">
        <f>"52:field228:" &amp; IF(I96="■",1,IF(L96="■",2,IF(O96="■",3,0)))</f>
        <v>52:field228:0</v>
      </c>
    </row>
    <row r="97" spans="1:36" s="109" customFormat="1" ht="18.75" customHeight="1" x14ac:dyDescent="0.15">
      <c r="A97" s="97"/>
      <c r="B97" s="98"/>
      <c r="C97" s="210"/>
      <c r="D97" s="211"/>
      <c r="E97" s="101"/>
      <c r="F97" s="102"/>
      <c r="G97" s="101"/>
      <c r="H97" s="349" t="s">
        <v>95</v>
      </c>
      <c r="I97" s="175" t="s">
        <v>196</v>
      </c>
      <c r="J97" s="147" t="s">
        <v>203</v>
      </c>
      <c r="K97" s="155"/>
      <c r="L97" s="147"/>
      <c r="M97" s="147"/>
      <c r="N97" s="147"/>
      <c r="O97" s="214"/>
      <c r="P97" s="214"/>
      <c r="Q97" s="176" t="s">
        <v>196</v>
      </c>
      <c r="R97" s="147" t="s">
        <v>204</v>
      </c>
      <c r="S97" s="179"/>
      <c r="T97" s="179"/>
      <c r="U97" s="179"/>
      <c r="V97" s="179"/>
      <c r="W97" s="179"/>
      <c r="X97" s="180"/>
      <c r="Y97" s="134"/>
      <c r="Z97" s="95"/>
      <c r="AA97" s="95"/>
      <c r="AB97" s="96"/>
      <c r="AC97" s="347"/>
      <c r="AD97" s="347"/>
      <c r="AE97" s="347"/>
      <c r="AF97" s="347"/>
      <c r="AI97" s="109" t="str">
        <f>"52:"&amp;IF(AND(I97="□",Q97="□",I98="□",Q98="□"),"koriha_rihasido_code:0:koriha_gengo_code:0:riha_seisin_code:0:koriha_other_code:0",IF(I97="■","koriha_rihasido_code:2","koriha_rihasido_code:1")
&amp;IF(Q97="■",":koriha_gengo_code:2",":koriha_gengo_code:1")
&amp;IF(I98="■",":riha_seisin_code:2",":riha_seisin_code:1")
&amp;IF(Q98="■",":koriha_other_code:2",":koriha_other_code:1"))</f>
        <v>52:koriha_rihasido_code:0:koriha_gengo_code:0:riha_seisin_code:0:koriha_other_code:0</v>
      </c>
    </row>
    <row r="98" spans="1:36" s="109" customFormat="1" ht="18.75" customHeight="1" x14ac:dyDescent="0.15">
      <c r="A98" s="97"/>
      <c r="B98" s="98"/>
      <c r="C98" s="210"/>
      <c r="D98" s="211"/>
      <c r="E98" s="101"/>
      <c r="F98" s="102"/>
      <c r="G98" s="101"/>
      <c r="H98" s="350"/>
      <c r="I98" s="130" t="s">
        <v>196</v>
      </c>
      <c r="J98" s="105" t="s">
        <v>205</v>
      </c>
      <c r="K98" s="132"/>
      <c r="L98" s="147"/>
      <c r="M98" s="132"/>
      <c r="N98" s="132"/>
      <c r="O98" s="132"/>
      <c r="P98" s="132"/>
      <c r="Q98" s="174" t="s">
        <v>196</v>
      </c>
      <c r="R98" s="105" t="s">
        <v>206</v>
      </c>
      <c r="S98" s="131"/>
      <c r="T98" s="131"/>
      <c r="U98" s="131"/>
      <c r="V98" s="131"/>
      <c r="W98" s="131"/>
      <c r="X98" s="198"/>
      <c r="Y98" s="134"/>
      <c r="Z98" s="95"/>
      <c r="AA98" s="95"/>
      <c r="AB98" s="96"/>
      <c r="AC98" s="347"/>
      <c r="AD98" s="347"/>
      <c r="AE98" s="347"/>
      <c r="AF98" s="347"/>
    </row>
    <row r="99" spans="1:36" s="109" customFormat="1" ht="18.75" customHeight="1" x14ac:dyDescent="0.15">
      <c r="A99" s="97"/>
      <c r="B99" s="98"/>
      <c r="C99" s="210"/>
      <c r="D99" s="211"/>
      <c r="E99" s="101"/>
      <c r="F99" s="102"/>
      <c r="G99" s="101"/>
      <c r="H99" s="199" t="s">
        <v>139</v>
      </c>
      <c r="I99" s="130" t="s">
        <v>196</v>
      </c>
      <c r="J99" s="105" t="s">
        <v>153</v>
      </c>
      <c r="K99" s="154"/>
      <c r="L99" s="139" t="s">
        <v>196</v>
      </c>
      <c r="M99" s="136" t="s">
        <v>162</v>
      </c>
      <c r="N99" s="136"/>
      <c r="O99" s="139" t="s">
        <v>196</v>
      </c>
      <c r="P99" s="136" t="s">
        <v>163</v>
      </c>
      <c r="Q99" s="137"/>
      <c r="R99" s="137"/>
      <c r="S99" s="137"/>
      <c r="T99" s="137"/>
      <c r="U99" s="137"/>
      <c r="V99" s="137"/>
      <c r="W99" s="137"/>
      <c r="X99" s="145"/>
      <c r="Y99" s="134"/>
      <c r="Z99" s="95"/>
      <c r="AA99" s="95"/>
      <c r="AB99" s="96"/>
      <c r="AC99" s="347"/>
      <c r="AD99" s="347"/>
      <c r="AE99" s="347"/>
      <c r="AF99" s="347"/>
      <c r="AI99" s="109" t="str">
        <f>"52:field216:" &amp; IF(I99="■",1,IF(L99="■",3,IF(O99="■",2,0)))</f>
        <v>52:field216:0</v>
      </c>
    </row>
    <row r="100" spans="1:36" s="109" customFormat="1" ht="18.75" customHeight="1" x14ac:dyDescent="0.15">
      <c r="A100" s="97"/>
      <c r="B100" s="98"/>
      <c r="C100" s="210"/>
      <c r="D100" s="211"/>
      <c r="E100" s="101"/>
      <c r="F100" s="102"/>
      <c r="G100" s="101"/>
      <c r="H100" s="199" t="s">
        <v>128</v>
      </c>
      <c r="I100" s="130" t="s">
        <v>196</v>
      </c>
      <c r="J100" s="105" t="s">
        <v>153</v>
      </c>
      <c r="K100" s="154"/>
      <c r="L100" s="174" t="s">
        <v>196</v>
      </c>
      <c r="M100" s="105" t="s">
        <v>161</v>
      </c>
      <c r="N100" s="137"/>
      <c r="O100" s="141"/>
      <c r="P100" s="141"/>
      <c r="Q100" s="141"/>
      <c r="R100" s="141"/>
      <c r="S100" s="141"/>
      <c r="T100" s="141"/>
      <c r="U100" s="141"/>
      <c r="V100" s="141"/>
      <c r="W100" s="141"/>
      <c r="X100" s="142"/>
      <c r="Y100" s="134"/>
      <c r="Z100" s="95"/>
      <c r="AA100" s="95"/>
      <c r="AB100" s="96"/>
      <c r="AC100" s="347"/>
      <c r="AD100" s="347"/>
      <c r="AE100" s="347"/>
      <c r="AF100" s="347"/>
      <c r="AI100" s="109" t="str">
        <f>"52:field210:" &amp; IF(I100="■",1,IF(L100="■",2,0))</f>
        <v>52:field210:0</v>
      </c>
    </row>
    <row r="101" spans="1:36" s="109" customFormat="1" ht="18.75" customHeight="1" x14ac:dyDescent="0.15">
      <c r="A101" s="97"/>
      <c r="B101" s="98"/>
      <c r="C101" s="210"/>
      <c r="D101" s="211"/>
      <c r="E101" s="101"/>
      <c r="F101" s="102"/>
      <c r="G101" s="101"/>
      <c r="H101" s="200" t="s">
        <v>138</v>
      </c>
      <c r="I101" s="130" t="s">
        <v>196</v>
      </c>
      <c r="J101" s="105" t="s">
        <v>153</v>
      </c>
      <c r="K101" s="154"/>
      <c r="L101" s="174" t="s">
        <v>196</v>
      </c>
      <c r="M101" s="105" t="s">
        <v>161</v>
      </c>
      <c r="N101" s="137"/>
      <c r="O101" s="141"/>
      <c r="P101" s="141"/>
      <c r="Q101" s="141"/>
      <c r="R101" s="141"/>
      <c r="S101" s="141"/>
      <c r="T101" s="141"/>
      <c r="U101" s="141"/>
      <c r="V101" s="141"/>
      <c r="W101" s="141"/>
      <c r="X101" s="142"/>
      <c r="Y101" s="134"/>
      <c r="Z101" s="95"/>
      <c r="AA101" s="95"/>
      <c r="AB101" s="96"/>
      <c r="AC101" s="347"/>
      <c r="AD101" s="347"/>
      <c r="AE101" s="347"/>
      <c r="AF101" s="347"/>
      <c r="AI101" s="109" t="str">
        <f>"52:field211:" &amp; IF(I101="■",1,IF(L101="■",2,0))</f>
        <v>52:field211:0</v>
      </c>
    </row>
    <row r="102" spans="1:36" s="109" customFormat="1" ht="18.75" customHeight="1" x14ac:dyDescent="0.15">
      <c r="A102" s="97"/>
      <c r="B102" s="98"/>
      <c r="C102" s="210"/>
      <c r="D102" s="211"/>
      <c r="E102" s="101"/>
      <c r="F102" s="102"/>
      <c r="G102" s="101"/>
      <c r="H102" s="200" t="s">
        <v>127</v>
      </c>
      <c r="I102" s="130" t="s">
        <v>196</v>
      </c>
      <c r="J102" s="105" t="s">
        <v>153</v>
      </c>
      <c r="K102" s="154"/>
      <c r="L102" s="174" t="s">
        <v>196</v>
      </c>
      <c r="M102" s="105" t="s">
        <v>161</v>
      </c>
      <c r="N102" s="137"/>
      <c r="O102" s="141"/>
      <c r="P102" s="141"/>
      <c r="Q102" s="141"/>
      <c r="R102" s="141"/>
      <c r="S102" s="141"/>
      <c r="T102" s="141"/>
      <c r="U102" s="141"/>
      <c r="V102" s="141"/>
      <c r="W102" s="141"/>
      <c r="X102" s="142"/>
      <c r="Y102" s="134"/>
      <c r="Z102" s="95"/>
      <c r="AA102" s="95"/>
      <c r="AB102" s="96"/>
      <c r="AC102" s="347"/>
      <c r="AD102" s="347"/>
      <c r="AE102" s="347"/>
      <c r="AF102" s="347"/>
      <c r="AI102" s="109" t="str">
        <f>"52:field212:" &amp; IF(I102="■",1,IF(L102="■",2,0))</f>
        <v>52:field212:0</v>
      </c>
    </row>
    <row r="103" spans="1:36" s="109" customFormat="1" ht="18.75" customHeight="1" x14ac:dyDescent="0.15">
      <c r="A103" s="97"/>
      <c r="B103" s="98"/>
      <c r="C103" s="210"/>
      <c r="D103" s="211"/>
      <c r="E103" s="101"/>
      <c r="F103" s="102"/>
      <c r="G103" s="101"/>
      <c r="H103" s="200" t="s">
        <v>133</v>
      </c>
      <c r="I103" s="130" t="s">
        <v>196</v>
      </c>
      <c r="J103" s="105" t="s">
        <v>153</v>
      </c>
      <c r="K103" s="154"/>
      <c r="L103" s="174" t="s">
        <v>196</v>
      </c>
      <c r="M103" s="105" t="s">
        <v>161</v>
      </c>
      <c r="N103" s="137"/>
      <c r="O103" s="141"/>
      <c r="P103" s="141"/>
      <c r="Q103" s="141"/>
      <c r="R103" s="141"/>
      <c r="S103" s="141"/>
      <c r="T103" s="141"/>
      <c r="U103" s="141"/>
      <c r="V103" s="141"/>
      <c r="W103" s="141"/>
      <c r="X103" s="142"/>
      <c r="Y103" s="134"/>
      <c r="Z103" s="95"/>
      <c r="AA103" s="95"/>
      <c r="AB103" s="96"/>
      <c r="AC103" s="347"/>
      <c r="AD103" s="347"/>
      <c r="AE103" s="347"/>
      <c r="AF103" s="347"/>
      <c r="AI103" s="109" t="str">
        <f>"52:field209:" &amp; IF(I103="■",1,IF(L103="■",2,0))</f>
        <v>52:field209:0</v>
      </c>
    </row>
    <row r="104" spans="1:36" s="109" customFormat="1" ht="18.75" customHeight="1" x14ac:dyDescent="0.15">
      <c r="A104" s="97"/>
      <c r="B104" s="98"/>
      <c r="C104" s="210"/>
      <c r="D104" s="211"/>
      <c r="E104" s="101"/>
      <c r="F104" s="102"/>
      <c r="G104" s="101"/>
      <c r="H104" s="200" t="s">
        <v>227</v>
      </c>
      <c r="I104" s="135" t="s">
        <v>196</v>
      </c>
      <c r="J104" s="136" t="s">
        <v>153</v>
      </c>
      <c r="K104" s="136"/>
      <c r="L104" s="139" t="s">
        <v>196</v>
      </c>
      <c r="M104" s="105" t="s">
        <v>161</v>
      </c>
      <c r="N104" s="136"/>
      <c r="O104" s="136"/>
      <c r="P104" s="136"/>
      <c r="Q104" s="137"/>
      <c r="R104" s="137"/>
      <c r="S104" s="137"/>
      <c r="T104" s="137"/>
      <c r="U104" s="137"/>
      <c r="V104" s="137"/>
      <c r="W104" s="137"/>
      <c r="X104" s="145"/>
      <c r="Y104" s="134"/>
      <c r="Z104" s="95"/>
      <c r="AA104" s="95"/>
      <c r="AB104" s="96"/>
      <c r="AC104" s="347"/>
      <c r="AD104" s="347"/>
      <c r="AE104" s="347"/>
      <c r="AF104" s="347"/>
      <c r="AI104" s="109" t="str">
        <f>"52:field226:" &amp; IF(I104="■",1,IF(L104="■",2,0))</f>
        <v>52:field226:0</v>
      </c>
    </row>
    <row r="105" spans="1:36" s="109" customFormat="1" ht="18.75" customHeight="1" x14ac:dyDescent="0.15">
      <c r="A105" s="97"/>
      <c r="B105" s="98"/>
      <c r="C105" s="210"/>
      <c r="D105" s="211"/>
      <c r="E105" s="101"/>
      <c r="F105" s="102"/>
      <c r="G105" s="101"/>
      <c r="H105" s="200" t="s">
        <v>228</v>
      </c>
      <c r="I105" s="135" t="s">
        <v>196</v>
      </c>
      <c r="J105" s="136" t="s">
        <v>153</v>
      </c>
      <c r="K105" s="136"/>
      <c r="L105" s="139" t="s">
        <v>196</v>
      </c>
      <c r="M105" s="105" t="s">
        <v>161</v>
      </c>
      <c r="N105" s="136"/>
      <c r="O105" s="136"/>
      <c r="P105" s="136"/>
      <c r="Q105" s="137"/>
      <c r="R105" s="137"/>
      <c r="S105" s="137"/>
      <c r="T105" s="137"/>
      <c r="U105" s="137"/>
      <c r="V105" s="137"/>
      <c r="W105" s="137"/>
      <c r="X105" s="145"/>
      <c r="Y105" s="134"/>
      <c r="Z105" s="95"/>
      <c r="AA105" s="95"/>
      <c r="AB105" s="96"/>
      <c r="AC105" s="347"/>
      <c r="AD105" s="347"/>
      <c r="AE105" s="347"/>
      <c r="AF105" s="347"/>
      <c r="AI105" s="109" t="str">
        <f>"52:field227:" &amp; IF(I105="■",1,IF(L105="■",2,0))</f>
        <v>52:field227:0</v>
      </c>
    </row>
    <row r="106" spans="1:36" s="109" customFormat="1" ht="18.75" customHeight="1" x14ac:dyDescent="0.15">
      <c r="A106" s="97"/>
      <c r="B106" s="98"/>
      <c r="C106" s="210"/>
      <c r="D106" s="211"/>
      <c r="E106" s="101"/>
      <c r="F106" s="102"/>
      <c r="G106" s="101"/>
      <c r="H106" s="213" t="s">
        <v>224</v>
      </c>
      <c r="I106" s="135" t="s">
        <v>196</v>
      </c>
      <c r="J106" s="136" t="s">
        <v>153</v>
      </c>
      <c r="K106" s="136"/>
      <c r="L106" s="139" t="s">
        <v>196</v>
      </c>
      <c r="M106" s="136" t="s">
        <v>154</v>
      </c>
      <c r="N106" s="136"/>
      <c r="O106" s="139" t="s">
        <v>196</v>
      </c>
      <c r="P106" s="136" t="s">
        <v>155</v>
      </c>
      <c r="Q106" s="141"/>
      <c r="R106" s="141"/>
      <c r="S106" s="141"/>
      <c r="T106" s="141"/>
      <c r="U106" s="214"/>
      <c r="V106" s="214"/>
      <c r="W106" s="214"/>
      <c r="X106" s="215"/>
      <c r="Y106" s="134"/>
      <c r="Z106" s="95"/>
      <c r="AA106" s="95"/>
      <c r="AB106" s="96"/>
      <c r="AC106" s="347"/>
      <c r="AD106" s="347"/>
      <c r="AE106" s="347"/>
      <c r="AF106" s="347"/>
      <c r="AI106" s="109" t="str">
        <f>"52:field225:" &amp; IF(I106="■",1,IF(L106="■",2,IF(O106="■",3,0)))</f>
        <v>52:field225:0</v>
      </c>
    </row>
    <row r="107" spans="1:36" s="109" customFormat="1" ht="18.75" customHeight="1" x14ac:dyDescent="0.15">
      <c r="A107" s="97"/>
      <c r="B107" s="98"/>
      <c r="C107" s="210"/>
      <c r="D107" s="211"/>
      <c r="E107" s="101"/>
      <c r="F107" s="102"/>
      <c r="G107" s="101"/>
      <c r="H107" s="200" t="s">
        <v>103</v>
      </c>
      <c r="I107" s="135" t="s">
        <v>196</v>
      </c>
      <c r="J107" s="136" t="s">
        <v>153</v>
      </c>
      <c r="K107" s="136"/>
      <c r="L107" s="139" t="s">
        <v>196</v>
      </c>
      <c r="M107" s="136" t="s">
        <v>157</v>
      </c>
      <c r="N107" s="136"/>
      <c r="O107" s="139" t="s">
        <v>196</v>
      </c>
      <c r="P107" s="136" t="s">
        <v>158</v>
      </c>
      <c r="Q107" s="177"/>
      <c r="R107" s="139" t="s">
        <v>196</v>
      </c>
      <c r="S107" s="136" t="s">
        <v>167</v>
      </c>
      <c r="T107" s="136"/>
      <c r="U107" s="177"/>
      <c r="V107" s="177"/>
      <c r="W107" s="177"/>
      <c r="X107" s="178"/>
      <c r="Y107" s="134"/>
      <c r="Z107" s="95"/>
      <c r="AA107" s="95"/>
      <c r="AB107" s="96"/>
      <c r="AC107" s="347"/>
      <c r="AD107" s="347"/>
      <c r="AE107" s="347"/>
      <c r="AF107" s="347"/>
      <c r="AI107" s="109" t="str">
        <f>"52:serteikyo_kyoka_code:" &amp; IF(I107="■",1,IF(L107="■",6,IF(O107="■",5,IF(R107="■",7,0))))</f>
        <v>52:serteikyo_kyoka_code:0</v>
      </c>
    </row>
    <row r="108" spans="1:36" s="109" customFormat="1" ht="18.75" customHeight="1" x14ac:dyDescent="0.15">
      <c r="A108" s="156"/>
      <c r="B108" s="157"/>
      <c r="C108" s="158"/>
      <c r="D108" s="159"/>
      <c r="E108" s="160"/>
      <c r="F108" s="161"/>
      <c r="G108" s="162"/>
      <c r="H108" s="85" t="s">
        <v>234</v>
      </c>
      <c r="I108" s="163" t="s">
        <v>196</v>
      </c>
      <c r="J108" s="86" t="s">
        <v>153</v>
      </c>
      <c r="K108" s="86"/>
      <c r="L108" s="164" t="s">
        <v>196</v>
      </c>
      <c r="M108" s="86" t="s">
        <v>218</v>
      </c>
      <c r="N108" s="87"/>
      <c r="O108" s="164" t="s">
        <v>196</v>
      </c>
      <c r="P108" s="89" t="s">
        <v>219</v>
      </c>
      <c r="Q108" s="88"/>
      <c r="R108" s="164" t="s">
        <v>196</v>
      </c>
      <c r="S108" s="86" t="s">
        <v>220</v>
      </c>
      <c r="T108" s="88"/>
      <c r="U108" s="164" t="s">
        <v>196</v>
      </c>
      <c r="V108" s="86" t="s">
        <v>221</v>
      </c>
      <c r="W108" s="90"/>
      <c r="X108" s="91"/>
      <c r="Y108" s="165"/>
      <c r="Z108" s="165"/>
      <c r="AA108" s="165"/>
      <c r="AB108" s="166"/>
      <c r="AC108" s="348"/>
      <c r="AD108" s="348"/>
      <c r="AE108" s="348"/>
      <c r="AF108" s="348"/>
      <c r="AI108" s="109" t="str">
        <f>"52:shoguukaizen_code:"&amp;IF(I108="■",1,IF(L108="■",7,IF(O108="■",8,IF(R108="■",9,IF(U108="■","A",0)))))</f>
        <v>52:shoguukaizen_code:0</v>
      </c>
    </row>
    <row r="109" spans="1:36" s="109" customFormat="1" ht="18.75" customHeight="1" x14ac:dyDescent="0.15">
      <c r="A109" s="122"/>
      <c r="B109" s="123"/>
      <c r="C109" s="221"/>
      <c r="D109" s="222"/>
      <c r="E109" s="117"/>
      <c r="F109" s="126"/>
      <c r="G109" s="117"/>
      <c r="H109" s="193" t="s">
        <v>92</v>
      </c>
      <c r="I109" s="167" t="s">
        <v>196</v>
      </c>
      <c r="J109" s="168" t="s">
        <v>179</v>
      </c>
      <c r="K109" s="169"/>
      <c r="L109" s="170"/>
      <c r="M109" s="171" t="s">
        <v>196</v>
      </c>
      <c r="N109" s="168" t="s">
        <v>180</v>
      </c>
      <c r="O109" s="172"/>
      <c r="P109" s="172"/>
      <c r="Q109" s="172"/>
      <c r="R109" s="172"/>
      <c r="S109" s="172"/>
      <c r="T109" s="172"/>
      <c r="U109" s="172"/>
      <c r="V109" s="172"/>
      <c r="W109" s="172"/>
      <c r="X109" s="173"/>
      <c r="Y109" s="129" t="s">
        <v>196</v>
      </c>
      <c r="Z109" s="115" t="s">
        <v>152</v>
      </c>
      <c r="AA109" s="115"/>
      <c r="AB109" s="128"/>
      <c r="AC109" s="346"/>
      <c r="AD109" s="346"/>
      <c r="AE109" s="346"/>
      <c r="AF109" s="346"/>
      <c r="AG109" s="109" t="str">
        <f>"ser_code = '" &amp; IF(A125="■",52,"") &amp; "'"</f>
        <v>ser_code = ''</v>
      </c>
      <c r="AI109" s="109" t="str">
        <f>"52:yakan_kinmu_code:" &amp; IF(I109="■",1,IF(M109="■",6,0))</f>
        <v>52:yakan_kinmu_code:0</v>
      </c>
      <c r="AJ109" s="109" t="str">
        <f>"52:field203:" &amp; IF(Y109="■",1,IF(Y110="■",2,0))</f>
        <v>52:field203:0</v>
      </c>
    </row>
    <row r="110" spans="1:36" s="109" customFormat="1" ht="18.75" customHeight="1" x14ac:dyDescent="0.15">
      <c r="A110" s="97"/>
      <c r="B110" s="98"/>
      <c r="C110" s="210"/>
      <c r="D110" s="211"/>
      <c r="E110" s="101"/>
      <c r="F110" s="102"/>
      <c r="G110" s="101"/>
      <c r="H110" s="349" t="s">
        <v>89</v>
      </c>
      <c r="I110" s="175" t="s">
        <v>196</v>
      </c>
      <c r="J110" s="147" t="s">
        <v>153</v>
      </c>
      <c r="K110" s="147"/>
      <c r="L110" s="179"/>
      <c r="M110" s="176" t="s">
        <v>196</v>
      </c>
      <c r="N110" s="147" t="s">
        <v>168</v>
      </c>
      <c r="O110" s="147"/>
      <c r="P110" s="179"/>
      <c r="Q110" s="176" t="s">
        <v>196</v>
      </c>
      <c r="R110" s="179" t="s">
        <v>169</v>
      </c>
      <c r="S110" s="179"/>
      <c r="T110" s="179"/>
      <c r="U110" s="176" t="s">
        <v>196</v>
      </c>
      <c r="V110" s="179" t="s">
        <v>170</v>
      </c>
      <c r="W110" s="179"/>
      <c r="X110" s="180"/>
      <c r="Y110" s="120" t="s">
        <v>196</v>
      </c>
      <c r="Z110" s="94" t="s">
        <v>156</v>
      </c>
      <c r="AA110" s="95"/>
      <c r="AB110" s="96"/>
      <c r="AC110" s="347"/>
      <c r="AD110" s="347"/>
      <c r="AE110" s="347"/>
      <c r="AF110" s="347"/>
      <c r="AG110" s="109" t="str">
        <f>"52:sisetukbn_code:" &amp; IF(D124="■",6,IF(D125="■",8,0))</f>
        <v>52:sisetukbn_code:0</v>
      </c>
      <c r="AI110" s="109" t="str">
        <f>"52:"&amp;IF(AND(I110="□",M110="□",Q110="□",U110="□",I111="□",M111="□",Q111="□",I112="□"),"ketu_doctor_code:0",IF(I110="■","ketu_doctor_code:1:ketu_kangos_code:1:ketu_kshoku_code:1:ketu_rryoho_code:1:ketu_sryoho_code:1:ketu_ksiensou_code:1:ketu_gengo_code:1",IF(M110="■","ketu_doctor_code:2","ketu_doctor_code:1")
&amp;IF(Q110="■",":ketu_kangos_code:2",":ketu_kangos_code:1")
&amp;IF(U110="■",":ketu_kshoku_code:2",":ketu_kshoku_code:1")
&amp;IF(I111="■",":ketu_rryoho_code:2",":ketu_rryoho_code:1")
&amp;IF(M111="■",":ketu_sryoho_code:2",":ketu_sryoho_code:1")
&amp;IF(Q111="■",":ketu_ksiensou_code:2",":ketu_ksiensou_code:1")
&amp;IF(I112="■",":ketu_gengo_code:2",":ketu_gengo_code:1")))</f>
        <v>52:ketu_doctor_code:0</v>
      </c>
    </row>
    <row r="111" spans="1:36" s="109" customFormat="1" ht="18.75" customHeight="1" x14ac:dyDescent="0.15">
      <c r="A111" s="97"/>
      <c r="B111" s="98"/>
      <c r="C111" s="210"/>
      <c r="D111" s="211"/>
      <c r="E111" s="101"/>
      <c r="F111" s="102"/>
      <c r="G111" s="101"/>
      <c r="H111" s="343"/>
      <c r="I111" s="120" t="s">
        <v>196</v>
      </c>
      <c r="J111" s="94" t="s">
        <v>171</v>
      </c>
      <c r="K111" s="94"/>
      <c r="L111" s="93"/>
      <c r="M111" s="114" t="s">
        <v>196</v>
      </c>
      <c r="N111" s="94" t="s">
        <v>172</v>
      </c>
      <c r="O111" s="94"/>
      <c r="P111" s="93"/>
      <c r="Q111" s="114" t="s">
        <v>196</v>
      </c>
      <c r="R111" s="93" t="s">
        <v>199</v>
      </c>
      <c r="S111" s="93"/>
      <c r="T111" s="93"/>
      <c r="U111" s="93"/>
      <c r="V111" s="93"/>
      <c r="W111" s="93"/>
      <c r="X111" s="153"/>
      <c r="Y111" s="134"/>
      <c r="Z111" s="95"/>
      <c r="AA111" s="95"/>
      <c r="AB111" s="96"/>
      <c r="AC111" s="347"/>
      <c r="AD111" s="347"/>
      <c r="AE111" s="347"/>
      <c r="AF111" s="347"/>
    </row>
    <row r="112" spans="1:36" s="109" customFormat="1" ht="18.75" customHeight="1" x14ac:dyDescent="0.15">
      <c r="A112" s="97"/>
      <c r="B112" s="98"/>
      <c r="C112" s="210"/>
      <c r="D112" s="211"/>
      <c r="E112" s="101"/>
      <c r="F112" s="102"/>
      <c r="G112" s="101"/>
      <c r="H112" s="350"/>
      <c r="I112" s="130" t="s">
        <v>196</v>
      </c>
      <c r="J112" s="105" t="s">
        <v>200</v>
      </c>
      <c r="K112" s="105"/>
      <c r="L112" s="131"/>
      <c r="M112" s="105"/>
      <c r="N112" s="105"/>
      <c r="O112" s="105"/>
      <c r="P112" s="131"/>
      <c r="Q112" s="105"/>
      <c r="R112" s="131"/>
      <c r="S112" s="131"/>
      <c r="T112" s="131"/>
      <c r="U112" s="131"/>
      <c r="V112" s="131"/>
      <c r="W112" s="131"/>
      <c r="X112" s="198"/>
      <c r="Y112" s="134"/>
      <c r="Z112" s="95"/>
      <c r="AA112" s="95"/>
      <c r="AB112" s="96"/>
      <c r="AC112" s="347"/>
      <c r="AD112" s="347"/>
      <c r="AE112" s="347"/>
      <c r="AF112" s="347"/>
    </row>
    <row r="113" spans="1:35" s="109" customFormat="1" ht="18.75" customHeight="1" x14ac:dyDescent="0.15">
      <c r="A113" s="97"/>
      <c r="B113" s="98"/>
      <c r="C113" s="210"/>
      <c r="D113" s="211"/>
      <c r="E113" s="101"/>
      <c r="F113" s="102"/>
      <c r="G113" s="101"/>
      <c r="H113" s="200" t="s">
        <v>93</v>
      </c>
      <c r="I113" s="135" t="s">
        <v>196</v>
      </c>
      <c r="J113" s="136" t="s">
        <v>159</v>
      </c>
      <c r="K113" s="137"/>
      <c r="L113" s="138"/>
      <c r="M113" s="139" t="s">
        <v>196</v>
      </c>
      <c r="N113" s="136" t="s">
        <v>160</v>
      </c>
      <c r="O113" s="137"/>
      <c r="P113" s="137"/>
      <c r="Q113" s="141"/>
      <c r="R113" s="141"/>
      <c r="S113" s="141"/>
      <c r="T113" s="141"/>
      <c r="U113" s="141"/>
      <c r="V113" s="141"/>
      <c r="W113" s="141"/>
      <c r="X113" s="142"/>
      <c r="Y113" s="134"/>
      <c r="Z113" s="95"/>
      <c r="AA113" s="95"/>
      <c r="AB113" s="96"/>
      <c r="AC113" s="347"/>
      <c r="AD113" s="347"/>
      <c r="AE113" s="347"/>
      <c r="AF113" s="347"/>
      <c r="AI113" s="109" t="str">
        <f>"52:unitcare_code:" &amp; IF(I113="■",1,IF(M113="■",2,0))</f>
        <v>52:unitcare_code:0</v>
      </c>
    </row>
    <row r="114" spans="1:35" s="109" customFormat="1" ht="18.75" customHeight="1" x14ac:dyDescent="0.15">
      <c r="A114" s="97"/>
      <c r="B114" s="98"/>
      <c r="C114" s="210"/>
      <c r="D114" s="211"/>
      <c r="E114" s="101"/>
      <c r="F114" s="102"/>
      <c r="G114" s="101"/>
      <c r="H114" s="200" t="s">
        <v>96</v>
      </c>
      <c r="I114" s="135" t="s">
        <v>196</v>
      </c>
      <c r="J114" s="136" t="s">
        <v>197</v>
      </c>
      <c r="K114" s="137"/>
      <c r="L114" s="138"/>
      <c r="M114" s="139" t="s">
        <v>196</v>
      </c>
      <c r="N114" s="136" t="s">
        <v>198</v>
      </c>
      <c r="O114" s="137"/>
      <c r="P114" s="137"/>
      <c r="Q114" s="141"/>
      <c r="R114" s="141"/>
      <c r="S114" s="141"/>
      <c r="T114" s="141"/>
      <c r="U114" s="141"/>
      <c r="V114" s="141"/>
      <c r="W114" s="141"/>
      <c r="X114" s="142"/>
      <c r="Y114" s="134"/>
      <c r="Z114" s="95"/>
      <c r="AA114" s="95"/>
      <c r="AB114" s="96"/>
      <c r="AC114" s="347"/>
      <c r="AD114" s="347"/>
      <c r="AE114" s="347"/>
      <c r="AF114" s="347"/>
      <c r="AI114" s="109" t="str">
        <f>"52:sintaikousoku_code:" &amp; IF(I114="■",1,IF(M114="■",2,0))</f>
        <v>52:sintaikousoku_code:0</v>
      </c>
    </row>
    <row r="115" spans="1:35" s="109" customFormat="1" ht="18.75" customHeight="1" x14ac:dyDescent="0.15">
      <c r="A115" s="97"/>
      <c r="B115" s="98"/>
      <c r="C115" s="210"/>
      <c r="D115" s="211"/>
      <c r="E115" s="101"/>
      <c r="F115" s="102"/>
      <c r="G115" s="101"/>
      <c r="H115" s="200" t="s">
        <v>130</v>
      </c>
      <c r="I115" s="135" t="s">
        <v>196</v>
      </c>
      <c r="J115" s="136" t="s">
        <v>197</v>
      </c>
      <c r="K115" s="137"/>
      <c r="L115" s="138"/>
      <c r="M115" s="139" t="s">
        <v>196</v>
      </c>
      <c r="N115" s="136" t="s">
        <v>198</v>
      </c>
      <c r="O115" s="137"/>
      <c r="P115" s="137"/>
      <c r="Q115" s="141"/>
      <c r="R115" s="141"/>
      <c r="S115" s="141"/>
      <c r="T115" s="141"/>
      <c r="U115" s="141"/>
      <c r="V115" s="141"/>
      <c r="W115" s="141"/>
      <c r="X115" s="142"/>
      <c r="Y115" s="134"/>
      <c r="Z115" s="95"/>
      <c r="AA115" s="95"/>
      <c r="AB115" s="96"/>
      <c r="AC115" s="347"/>
      <c r="AD115" s="347"/>
      <c r="AE115" s="347"/>
      <c r="AF115" s="347"/>
      <c r="AI115" s="109" t="str">
        <f>"52:field208:" &amp; IF(I115="■",1,IF(M115="■",2,0))</f>
        <v>52:field208:0</v>
      </c>
    </row>
    <row r="116" spans="1:35" s="109" customFormat="1" ht="19.5" customHeight="1" x14ac:dyDescent="0.15">
      <c r="A116" s="97"/>
      <c r="B116" s="98"/>
      <c r="C116" s="99"/>
      <c r="D116" s="100"/>
      <c r="E116" s="101"/>
      <c r="F116" s="102"/>
      <c r="G116" s="103"/>
      <c r="H116" s="104" t="s">
        <v>215</v>
      </c>
      <c r="I116" s="135" t="s">
        <v>196</v>
      </c>
      <c r="J116" s="136" t="s">
        <v>197</v>
      </c>
      <c r="K116" s="137"/>
      <c r="L116" s="138"/>
      <c r="M116" s="139" t="s">
        <v>196</v>
      </c>
      <c r="N116" s="136" t="s">
        <v>216</v>
      </c>
      <c r="O116" s="140"/>
      <c r="P116" s="136"/>
      <c r="Q116" s="141"/>
      <c r="R116" s="141"/>
      <c r="S116" s="141"/>
      <c r="T116" s="141"/>
      <c r="U116" s="141"/>
      <c r="V116" s="141"/>
      <c r="W116" s="141"/>
      <c r="X116" s="142"/>
      <c r="Y116" s="95"/>
      <c r="Z116" s="95"/>
      <c r="AA116" s="95"/>
      <c r="AB116" s="96"/>
      <c r="AC116" s="347"/>
      <c r="AD116" s="347"/>
      <c r="AE116" s="347"/>
      <c r="AF116" s="347"/>
      <c r="AI116" s="109" t="str">
        <f>"52:field223:" &amp; IF(I116="■",1,IF(M116="■",2,0))</f>
        <v>52:field223:0</v>
      </c>
    </row>
    <row r="117" spans="1:35" s="109" customFormat="1" ht="19.5" customHeight="1" x14ac:dyDescent="0.15">
      <c r="A117" s="97"/>
      <c r="B117" s="98"/>
      <c r="C117" s="99"/>
      <c r="D117" s="100"/>
      <c r="E117" s="101"/>
      <c r="F117" s="102"/>
      <c r="G117" s="103"/>
      <c r="H117" s="104" t="s">
        <v>226</v>
      </c>
      <c r="I117" s="135" t="s">
        <v>196</v>
      </c>
      <c r="J117" s="136" t="s">
        <v>197</v>
      </c>
      <c r="K117" s="137"/>
      <c r="L117" s="138"/>
      <c r="M117" s="139" t="s">
        <v>196</v>
      </c>
      <c r="N117" s="136" t="s">
        <v>216</v>
      </c>
      <c r="O117" s="140"/>
      <c r="P117" s="136"/>
      <c r="Q117" s="141"/>
      <c r="R117" s="141"/>
      <c r="S117" s="141"/>
      <c r="T117" s="141"/>
      <c r="U117" s="141"/>
      <c r="V117" s="141"/>
      <c r="W117" s="141"/>
      <c r="X117" s="142"/>
      <c r="Y117" s="95"/>
      <c r="Z117" s="95"/>
      <c r="AA117" s="95"/>
      <c r="AB117" s="96"/>
      <c r="AC117" s="347"/>
      <c r="AD117" s="347"/>
      <c r="AE117" s="347"/>
      <c r="AF117" s="347"/>
      <c r="AI117" s="109" t="str">
        <f>"52:field232:" &amp; IF(I117="■",1,IF(M117="■",2,0))</f>
        <v>52:field232:0</v>
      </c>
    </row>
    <row r="118" spans="1:35" s="109" customFormat="1" ht="37.5" customHeight="1" x14ac:dyDescent="0.15">
      <c r="A118" s="97"/>
      <c r="B118" s="98"/>
      <c r="C118" s="210"/>
      <c r="D118" s="211"/>
      <c r="E118" s="101"/>
      <c r="F118" s="102"/>
      <c r="G118" s="101"/>
      <c r="H118" s="143" t="s">
        <v>131</v>
      </c>
      <c r="I118" s="130" t="s">
        <v>196</v>
      </c>
      <c r="J118" s="105" t="s">
        <v>153</v>
      </c>
      <c r="K118" s="154"/>
      <c r="L118" s="174" t="s">
        <v>196</v>
      </c>
      <c r="M118" s="105" t="s">
        <v>161</v>
      </c>
      <c r="N118" s="137"/>
      <c r="O118" s="177"/>
      <c r="P118" s="177"/>
      <c r="Q118" s="177"/>
      <c r="R118" s="177"/>
      <c r="S118" s="177"/>
      <c r="T118" s="177"/>
      <c r="U118" s="177"/>
      <c r="V118" s="177"/>
      <c r="W118" s="177"/>
      <c r="X118" s="178"/>
      <c r="Y118" s="134"/>
      <c r="Z118" s="95"/>
      <c r="AA118" s="95"/>
      <c r="AB118" s="96"/>
      <c r="AC118" s="347"/>
      <c r="AD118" s="347"/>
      <c r="AE118" s="347"/>
      <c r="AF118" s="347"/>
      <c r="AI118" s="109" t="str">
        <f>"52:field206:" &amp; IF(I118="■",1,IF(L118="■",2,0))</f>
        <v>52:field206:0</v>
      </c>
    </row>
    <row r="119" spans="1:35" s="109" customFormat="1" ht="18.75" customHeight="1" x14ac:dyDescent="0.15">
      <c r="A119" s="97"/>
      <c r="B119" s="98"/>
      <c r="C119" s="210"/>
      <c r="D119" s="211"/>
      <c r="E119" s="101"/>
      <c r="F119" s="102"/>
      <c r="G119" s="101"/>
      <c r="H119" s="200" t="s">
        <v>98</v>
      </c>
      <c r="I119" s="130" t="s">
        <v>196</v>
      </c>
      <c r="J119" s="105" t="s">
        <v>153</v>
      </c>
      <c r="K119" s="154"/>
      <c r="L119" s="174" t="s">
        <v>196</v>
      </c>
      <c r="M119" s="105" t="s">
        <v>161</v>
      </c>
      <c r="N119" s="137"/>
      <c r="O119" s="141"/>
      <c r="P119" s="141"/>
      <c r="Q119" s="141"/>
      <c r="R119" s="141"/>
      <c r="S119" s="141"/>
      <c r="T119" s="141"/>
      <c r="U119" s="141"/>
      <c r="V119" s="141"/>
      <c r="W119" s="141"/>
      <c r="X119" s="142"/>
      <c r="Y119" s="134"/>
      <c r="Z119" s="95"/>
      <c r="AA119" s="95"/>
      <c r="AB119" s="96"/>
      <c r="AC119" s="347"/>
      <c r="AD119" s="347"/>
      <c r="AE119" s="347"/>
      <c r="AF119" s="347"/>
      <c r="AI119" s="109" t="str">
        <f>"52:yakinhaiti_code:" &amp; IF(I119="■",1,IF(L119="■",2,0))</f>
        <v>52:yakinhaiti_code:0</v>
      </c>
    </row>
    <row r="120" spans="1:35" s="109" customFormat="1" ht="18.75" customHeight="1" x14ac:dyDescent="0.15">
      <c r="A120" s="97"/>
      <c r="B120" s="98"/>
      <c r="C120" s="210"/>
      <c r="D120" s="211"/>
      <c r="E120" s="101"/>
      <c r="F120" s="102"/>
      <c r="G120" s="101"/>
      <c r="H120" s="200" t="s">
        <v>113</v>
      </c>
      <c r="I120" s="130" t="s">
        <v>196</v>
      </c>
      <c r="J120" s="105" t="s">
        <v>153</v>
      </c>
      <c r="K120" s="154"/>
      <c r="L120" s="174" t="s">
        <v>196</v>
      </c>
      <c r="M120" s="105" t="s">
        <v>161</v>
      </c>
      <c r="N120" s="137"/>
      <c r="O120" s="136"/>
      <c r="P120" s="136"/>
      <c r="Q120" s="136"/>
      <c r="R120" s="136"/>
      <c r="S120" s="136"/>
      <c r="T120" s="136"/>
      <c r="U120" s="136"/>
      <c r="V120" s="136"/>
      <c r="W120" s="136"/>
      <c r="X120" s="144"/>
      <c r="Y120" s="134"/>
      <c r="Z120" s="95"/>
      <c r="AA120" s="95"/>
      <c r="AB120" s="96"/>
      <c r="AC120" s="347"/>
      <c r="AD120" s="347"/>
      <c r="AE120" s="347"/>
      <c r="AF120" s="347"/>
      <c r="AI120" s="109" t="str">
        <f>"52:ninti_riha_code:" &amp; IF(I120="■",1,IF(L120="■",2,0))</f>
        <v>52:ninti_riha_code:0</v>
      </c>
    </row>
    <row r="121" spans="1:35" s="109" customFormat="1" ht="18.75" customHeight="1" x14ac:dyDescent="0.15">
      <c r="A121" s="97"/>
      <c r="B121" s="98"/>
      <c r="C121" s="210"/>
      <c r="D121" s="211"/>
      <c r="E121" s="101"/>
      <c r="F121" s="102"/>
      <c r="G121" s="101"/>
      <c r="H121" s="200" t="s">
        <v>94</v>
      </c>
      <c r="I121" s="130" t="s">
        <v>196</v>
      </c>
      <c r="J121" s="105" t="s">
        <v>153</v>
      </c>
      <c r="K121" s="154"/>
      <c r="L121" s="174" t="s">
        <v>196</v>
      </c>
      <c r="M121" s="105" t="s">
        <v>161</v>
      </c>
      <c r="N121" s="137"/>
      <c r="O121" s="141"/>
      <c r="P121" s="141"/>
      <c r="Q121" s="141"/>
      <c r="R121" s="141"/>
      <c r="S121" s="141"/>
      <c r="T121" s="141"/>
      <c r="U121" s="141"/>
      <c r="V121" s="141"/>
      <c r="W121" s="141"/>
      <c r="X121" s="142"/>
      <c r="Y121" s="134"/>
      <c r="Z121" s="95"/>
      <c r="AA121" s="95"/>
      <c r="AB121" s="96"/>
      <c r="AC121" s="347"/>
      <c r="AD121" s="347"/>
      <c r="AE121" s="347"/>
      <c r="AF121" s="347"/>
      <c r="AI121" s="109" t="str">
        <f>"52:ninticare_code:" &amp; IF(I121="■",1,IF(L121="■",2,0))</f>
        <v>52:ninticare_code:0</v>
      </c>
    </row>
    <row r="122" spans="1:35" s="109" customFormat="1" ht="18.75" customHeight="1" x14ac:dyDescent="0.15">
      <c r="A122" s="97"/>
      <c r="B122" s="98"/>
      <c r="C122" s="210"/>
      <c r="D122" s="211"/>
      <c r="E122" s="101"/>
      <c r="F122" s="102"/>
      <c r="G122" s="101"/>
      <c r="H122" s="205" t="s">
        <v>114</v>
      </c>
      <c r="I122" s="130" t="s">
        <v>196</v>
      </c>
      <c r="J122" s="105" t="s">
        <v>153</v>
      </c>
      <c r="K122" s="154"/>
      <c r="L122" s="174" t="s">
        <v>196</v>
      </c>
      <c r="M122" s="105" t="s">
        <v>161</v>
      </c>
      <c r="N122" s="137"/>
      <c r="O122" s="141"/>
      <c r="P122" s="141"/>
      <c r="Q122" s="141"/>
      <c r="R122" s="141"/>
      <c r="S122" s="141"/>
      <c r="T122" s="141"/>
      <c r="U122" s="141"/>
      <c r="V122" s="141"/>
      <c r="W122" s="141"/>
      <c r="X122" s="142"/>
      <c r="Y122" s="134"/>
      <c r="Z122" s="95"/>
      <c r="AA122" s="95"/>
      <c r="AB122" s="96"/>
      <c r="AC122" s="347"/>
      <c r="AD122" s="347"/>
      <c r="AE122" s="347"/>
      <c r="AF122" s="347"/>
      <c r="AI122" s="109" t="str">
        <f>"52:jyakuninti_uke_code:" &amp; IF(I122="■",1,IF(L122="■",2,0))</f>
        <v>52:jyakuninti_uke_code:0</v>
      </c>
    </row>
    <row r="123" spans="1:35" s="109" customFormat="1" ht="18.75" customHeight="1" x14ac:dyDescent="0.15">
      <c r="A123" s="97"/>
      <c r="B123" s="98"/>
      <c r="C123" s="210"/>
      <c r="D123" s="211"/>
      <c r="E123" s="101"/>
      <c r="F123" s="102"/>
      <c r="G123" s="101"/>
      <c r="H123" s="200" t="s">
        <v>88</v>
      </c>
      <c r="I123" s="130" t="s">
        <v>196</v>
      </c>
      <c r="J123" s="105" t="s">
        <v>153</v>
      </c>
      <c r="K123" s="154"/>
      <c r="L123" s="174" t="s">
        <v>196</v>
      </c>
      <c r="M123" s="105" t="s">
        <v>161</v>
      </c>
      <c r="N123" s="137"/>
      <c r="O123" s="141"/>
      <c r="P123" s="141"/>
      <c r="Q123" s="141"/>
      <c r="R123" s="141"/>
      <c r="S123" s="141"/>
      <c r="T123" s="141"/>
      <c r="U123" s="141"/>
      <c r="V123" s="141"/>
      <c r="W123" s="141"/>
      <c r="X123" s="142"/>
      <c r="Y123" s="134"/>
      <c r="Z123" s="95"/>
      <c r="AA123" s="95"/>
      <c r="AB123" s="96"/>
      <c r="AC123" s="347"/>
      <c r="AD123" s="347"/>
      <c r="AE123" s="347"/>
      <c r="AF123" s="347"/>
      <c r="AI123" s="109" t="str">
        <f>"52:terminal_code:" &amp; IF(I123="■",1,IF(L123="■",2,0))</f>
        <v>52:terminal_code:0</v>
      </c>
    </row>
    <row r="124" spans="1:35" s="109" customFormat="1" ht="18.75" customHeight="1" x14ac:dyDescent="0.15">
      <c r="A124" s="97"/>
      <c r="B124" s="98"/>
      <c r="C124" s="210"/>
      <c r="D124" s="120" t="s">
        <v>196</v>
      </c>
      <c r="E124" s="101" t="s">
        <v>208</v>
      </c>
      <c r="F124" s="102"/>
      <c r="G124" s="101"/>
      <c r="H124" s="200" t="s">
        <v>104</v>
      </c>
      <c r="I124" s="135" t="s">
        <v>196</v>
      </c>
      <c r="J124" s="136" t="s">
        <v>188</v>
      </c>
      <c r="K124" s="136"/>
      <c r="L124" s="141"/>
      <c r="M124" s="141"/>
      <c r="N124" s="141"/>
      <c r="O124" s="141"/>
      <c r="P124" s="139" t="s">
        <v>196</v>
      </c>
      <c r="Q124" s="136" t="s">
        <v>189</v>
      </c>
      <c r="R124" s="141"/>
      <c r="S124" s="141"/>
      <c r="T124" s="141"/>
      <c r="U124" s="141"/>
      <c r="V124" s="141"/>
      <c r="W124" s="141"/>
      <c r="X124" s="142"/>
      <c r="Y124" s="134"/>
      <c r="Z124" s="95"/>
      <c r="AA124" s="95"/>
      <c r="AB124" s="96"/>
      <c r="AC124" s="347"/>
      <c r="AD124" s="347"/>
      <c r="AE124" s="347"/>
      <c r="AF124" s="347"/>
      <c r="AI124" s="109" t="str">
        <f>"52:" &amp; IF(AND(I124="□",P124="□"),"tokusin_jyusho_code:0:tokusin_yakuzai_code:0",IF(I124="■","tokusin_jyusho_code:2","tokusin_jyusho_code:1")
&amp;IF(P124="■",":tokusin_yakuzai_code:2",":tokusin_yakuzai_code:1"))</f>
        <v>52:tokusin_jyusho_code:0:tokusin_yakuzai_code:0</v>
      </c>
    </row>
    <row r="125" spans="1:35" s="109" customFormat="1" ht="18.75" customHeight="1" x14ac:dyDescent="0.15">
      <c r="A125" s="120" t="s">
        <v>196</v>
      </c>
      <c r="B125" s="98">
        <v>52</v>
      </c>
      <c r="C125" s="210" t="s">
        <v>211</v>
      </c>
      <c r="D125" s="120" t="s">
        <v>196</v>
      </c>
      <c r="E125" s="101" t="s">
        <v>210</v>
      </c>
      <c r="F125" s="102"/>
      <c r="G125" s="101"/>
      <c r="H125" s="200" t="s">
        <v>117</v>
      </c>
      <c r="I125" s="130" t="s">
        <v>196</v>
      </c>
      <c r="J125" s="105" t="s">
        <v>153</v>
      </c>
      <c r="K125" s="154"/>
      <c r="L125" s="174" t="s">
        <v>196</v>
      </c>
      <c r="M125" s="105" t="s">
        <v>161</v>
      </c>
      <c r="N125" s="137"/>
      <c r="O125" s="177"/>
      <c r="P125" s="177"/>
      <c r="Q125" s="177"/>
      <c r="R125" s="177"/>
      <c r="S125" s="177"/>
      <c r="T125" s="177"/>
      <c r="U125" s="177"/>
      <c r="V125" s="177"/>
      <c r="W125" s="177"/>
      <c r="X125" s="178"/>
      <c r="Y125" s="134"/>
      <c r="Z125" s="95"/>
      <c r="AA125" s="95"/>
      <c r="AB125" s="96"/>
      <c r="AC125" s="347"/>
      <c r="AD125" s="347"/>
      <c r="AE125" s="347"/>
      <c r="AF125" s="347"/>
      <c r="AI125" s="109" t="str">
        <f>"52:field198:" &amp; IF(I125="■",1,IF(L125="■",2,0))</f>
        <v>52:field198:0</v>
      </c>
    </row>
    <row r="126" spans="1:35" s="109" customFormat="1" ht="18.75" customHeight="1" x14ac:dyDescent="0.15">
      <c r="A126" s="97"/>
      <c r="B126" s="98"/>
      <c r="C126" s="210"/>
      <c r="D126" s="97"/>
      <c r="E126" s="101"/>
      <c r="F126" s="102"/>
      <c r="G126" s="101"/>
      <c r="H126" s="200" t="s">
        <v>119</v>
      </c>
      <c r="I126" s="130" t="s">
        <v>196</v>
      </c>
      <c r="J126" s="105" t="s">
        <v>153</v>
      </c>
      <c r="K126" s="154"/>
      <c r="L126" s="174" t="s">
        <v>196</v>
      </c>
      <c r="M126" s="105" t="s">
        <v>161</v>
      </c>
      <c r="N126" s="137"/>
      <c r="O126" s="177"/>
      <c r="P126" s="177"/>
      <c r="Q126" s="177"/>
      <c r="R126" s="177"/>
      <c r="S126" s="177"/>
      <c r="T126" s="177"/>
      <c r="U126" s="177"/>
      <c r="V126" s="177"/>
      <c r="W126" s="177"/>
      <c r="X126" s="178"/>
      <c r="Y126" s="134"/>
      <c r="Z126" s="95"/>
      <c r="AA126" s="95"/>
      <c r="AB126" s="96"/>
      <c r="AC126" s="347"/>
      <c r="AD126" s="347"/>
      <c r="AE126" s="347"/>
      <c r="AF126" s="347"/>
      <c r="AI126" s="109" t="str">
        <f>"52:field199:" &amp; IF(I126="■",1,IF(L126="■",2,0))</f>
        <v>52:field199:0</v>
      </c>
    </row>
    <row r="127" spans="1:35" s="109" customFormat="1" ht="18.75" customHeight="1" x14ac:dyDescent="0.15">
      <c r="A127" s="97"/>
      <c r="B127" s="98"/>
      <c r="C127" s="210"/>
      <c r="D127" s="97"/>
      <c r="E127" s="101"/>
      <c r="F127" s="102"/>
      <c r="G127" s="101"/>
      <c r="H127" s="200" t="s">
        <v>129</v>
      </c>
      <c r="I127" s="130" t="s">
        <v>196</v>
      </c>
      <c r="J127" s="105" t="s">
        <v>153</v>
      </c>
      <c r="K127" s="154"/>
      <c r="L127" s="174" t="s">
        <v>196</v>
      </c>
      <c r="M127" s="105" t="s">
        <v>161</v>
      </c>
      <c r="N127" s="137"/>
      <c r="O127" s="141"/>
      <c r="P127" s="141"/>
      <c r="Q127" s="141"/>
      <c r="R127" s="141"/>
      <c r="S127" s="141"/>
      <c r="T127" s="141"/>
      <c r="U127" s="141"/>
      <c r="V127" s="141"/>
      <c r="W127" s="141"/>
      <c r="X127" s="142"/>
      <c r="Y127" s="134"/>
      <c r="Z127" s="95"/>
      <c r="AA127" s="95"/>
      <c r="AB127" s="96"/>
      <c r="AC127" s="347"/>
      <c r="AD127" s="347"/>
      <c r="AE127" s="347"/>
      <c r="AF127" s="347"/>
      <c r="AI127" s="109" t="str">
        <f>"52:field207:" &amp; IF(I127="■",1,IF(L127="■",2,0))</f>
        <v>52:field207:0</v>
      </c>
    </row>
    <row r="128" spans="1:35" s="109" customFormat="1" ht="18.75" customHeight="1" x14ac:dyDescent="0.15">
      <c r="A128" s="97"/>
      <c r="B128" s="98"/>
      <c r="C128" s="210"/>
      <c r="D128" s="97"/>
      <c r="E128" s="101"/>
      <c r="F128" s="102"/>
      <c r="G128" s="101"/>
      <c r="H128" s="200" t="s">
        <v>99</v>
      </c>
      <c r="I128" s="130" t="s">
        <v>196</v>
      </c>
      <c r="J128" s="105" t="s">
        <v>153</v>
      </c>
      <c r="K128" s="154"/>
      <c r="L128" s="174" t="s">
        <v>196</v>
      </c>
      <c r="M128" s="105" t="s">
        <v>161</v>
      </c>
      <c r="N128" s="137"/>
      <c r="O128" s="141"/>
      <c r="P128" s="141"/>
      <c r="Q128" s="141"/>
      <c r="R128" s="141"/>
      <c r="S128" s="141"/>
      <c r="T128" s="141"/>
      <c r="U128" s="141"/>
      <c r="V128" s="141"/>
      <c r="W128" s="141"/>
      <c r="X128" s="142"/>
      <c r="Y128" s="134"/>
      <c r="Z128" s="95"/>
      <c r="AA128" s="95"/>
      <c r="AB128" s="96"/>
      <c r="AC128" s="347"/>
      <c r="AD128" s="347"/>
      <c r="AE128" s="347"/>
      <c r="AF128" s="347"/>
      <c r="AI128" s="109" t="str">
        <f>"52:ryouyoushoku_code:" &amp; IF(I128="■",1,IF(L128="■",2,0))</f>
        <v>52:ryouyoushoku_code:0</v>
      </c>
    </row>
    <row r="129" spans="1:36" s="109" customFormat="1" ht="18.75" customHeight="1" x14ac:dyDescent="0.15">
      <c r="A129" s="97"/>
      <c r="B129" s="98"/>
      <c r="C129" s="210"/>
      <c r="D129" s="211"/>
      <c r="E129" s="101"/>
      <c r="F129" s="102"/>
      <c r="G129" s="101"/>
      <c r="H129" s="200" t="s">
        <v>102</v>
      </c>
      <c r="I129" s="135" t="s">
        <v>196</v>
      </c>
      <c r="J129" s="136" t="s">
        <v>153</v>
      </c>
      <c r="K129" s="136"/>
      <c r="L129" s="139" t="s">
        <v>196</v>
      </c>
      <c r="M129" s="136" t="s">
        <v>154</v>
      </c>
      <c r="N129" s="136"/>
      <c r="O129" s="139" t="s">
        <v>196</v>
      </c>
      <c r="P129" s="136" t="s">
        <v>155</v>
      </c>
      <c r="Q129" s="141"/>
      <c r="R129" s="141"/>
      <c r="S129" s="141"/>
      <c r="T129" s="141"/>
      <c r="U129" s="141"/>
      <c r="V129" s="141"/>
      <c r="W129" s="141"/>
      <c r="X129" s="142"/>
      <c r="Y129" s="134"/>
      <c r="Z129" s="95"/>
      <c r="AA129" s="95"/>
      <c r="AB129" s="96"/>
      <c r="AC129" s="347"/>
      <c r="AD129" s="347"/>
      <c r="AE129" s="347"/>
      <c r="AF129" s="347"/>
      <c r="AI129" s="109" t="str">
        <f>"52:ninti_senmoncare_code:" &amp; IF(I129="■",1,IF(O129="■",3,IF(L129="■",2,0)))</f>
        <v>52:ninti_senmoncare_code:0</v>
      </c>
    </row>
    <row r="130" spans="1:36" s="109" customFormat="1" ht="18.75" customHeight="1" x14ac:dyDescent="0.15">
      <c r="A130" s="97"/>
      <c r="B130" s="98"/>
      <c r="C130" s="210"/>
      <c r="D130" s="211"/>
      <c r="E130" s="101"/>
      <c r="F130" s="102"/>
      <c r="G130" s="101"/>
      <c r="H130" s="200" t="s">
        <v>225</v>
      </c>
      <c r="I130" s="135" t="s">
        <v>196</v>
      </c>
      <c r="J130" s="136" t="s">
        <v>153</v>
      </c>
      <c r="K130" s="136"/>
      <c r="L130" s="139" t="s">
        <v>196</v>
      </c>
      <c r="M130" s="136" t="s">
        <v>154</v>
      </c>
      <c r="N130" s="136"/>
      <c r="O130" s="139" t="s">
        <v>196</v>
      </c>
      <c r="P130" s="136" t="s">
        <v>155</v>
      </c>
      <c r="Q130" s="137"/>
      <c r="R130" s="137"/>
      <c r="S130" s="137"/>
      <c r="T130" s="137"/>
      <c r="U130" s="137"/>
      <c r="V130" s="137"/>
      <c r="W130" s="137"/>
      <c r="X130" s="145"/>
      <c r="Y130" s="134"/>
      <c r="Z130" s="95"/>
      <c r="AA130" s="95"/>
      <c r="AB130" s="96"/>
      <c r="AC130" s="347"/>
      <c r="AD130" s="347"/>
      <c r="AE130" s="347"/>
      <c r="AF130" s="347"/>
      <c r="AI130" s="109" t="str">
        <f>"52:field228:" &amp; IF(I130="■",1,IF(L130="■",2,IF(O130="■",3,0)))</f>
        <v>52:field228:0</v>
      </c>
    </row>
    <row r="131" spans="1:36" s="109" customFormat="1" ht="18.75" customHeight="1" x14ac:dyDescent="0.15">
      <c r="A131" s="97"/>
      <c r="B131" s="98"/>
      <c r="C131" s="210"/>
      <c r="D131" s="211"/>
      <c r="E131" s="101"/>
      <c r="F131" s="102"/>
      <c r="G131" s="101"/>
      <c r="H131" s="349" t="s">
        <v>95</v>
      </c>
      <c r="I131" s="175" t="s">
        <v>196</v>
      </c>
      <c r="J131" s="147" t="s">
        <v>203</v>
      </c>
      <c r="K131" s="155"/>
      <c r="L131" s="147"/>
      <c r="M131" s="147"/>
      <c r="N131" s="147"/>
      <c r="O131" s="214"/>
      <c r="P131" s="214"/>
      <c r="Q131" s="176" t="s">
        <v>196</v>
      </c>
      <c r="R131" s="147" t="s">
        <v>204</v>
      </c>
      <c r="S131" s="179"/>
      <c r="T131" s="179"/>
      <c r="U131" s="179"/>
      <c r="V131" s="179"/>
      <c r="W131" s="179"/>
      <c r="X131" s="180"/>
      <c r="Y131" s="134"/>
      <c r="Z131" s="95"/>
      <c r="AA131" s="95"/>
      <c r="AB131" s="96"/>
      <c r="AC131" s="347"/>
      <c r="AD131" s="347"/>
      <c r="AE131" s="347"/>
      <c r="AF131" s="347"/>
      <c r="AI131" s="109" t="str">
        <f>"52:"&amp;IF(AND(I131="□",Q131="□",I132="□",Q132="□"),"koriha_rihasido_code:0:koriha_gengo_code:0:riha_seisin_code:0:koriha_other_code:0",IF(I131="■","koriha_rihasido_code:2","koriha_rihasido_code:1")
&amp;IF(Q131="■",":koriha_gengo_code:2",":koriha_gengo_code:1")
&amp;IF(I132="■",":riha_seisin_code:2",":riha_seisin_code:1")
&amp;IF(Q132="■",":koriha_other_code:2",":koriha_other_code:1"))</f>
        <v>52:koriha_rihasido_code:0:koriha_gengo_code:0:riha_seisin_code:0:koriha_other_code:0</v>
      </c>
    </row>
    <row r="132" spans="1:36" s="109" customFormat="1" ht="18.75" customHeight="1" x14ac:dyDescent="0.15">
      <c r="A132" s="97"/>
      <c r="B132" s="98"/>
      <c r="C132" s="210"/>
      <c r="D132" s="211"/>
      <c r="E132" s="101"/>
      <c r="F132" s="102"/>
      <c r="G132" s="101"/>
      <c r="H132" s="350"/>
      <c r="I132" s="130" t="s">
        <v>196</v>
      </c>
      <c r="J132" s="105" t="s">
        <v>205</v>
      </c>
      <c r="K132" s="132"/>
      <c r="L132" s="147"/>
      <c r="M132" s="132"/>
      <c r="N132" s="132"/>
      <c r="O132" s="132"/>
      <c r="P132" s="132"/>
      <c r="Q132" s="174" t="s">
        <v>196</v>
      </c>
      <c r="R132" s="105" t="s">
        <v>206</v>
      </c>
      <c r="S132" s="131"/>
      <c r="T132" s="131"/>
      <c r="U132" s="131"/>
      <c r="V132" s="131"/>
      <c r="W132" s="131"/>
      <c r="X132" s="198"/>
      <c r="Y132" s="134"/>
      <c r="Z132" s="95"/>
      <c r="AA132" s="95"/>
      <c r="AB132" s="96"/>
      <c r="AC132" s="347"/>
      <c r="AD132" s="347"/>
      <c r="AE132" s="347"/>
      <c r="AF132" s="347"/>
    </row>
    <row r="133" spans="1:36" s="109" customFormat="1" ht="18.75" customHeight="1" x14ac:dyDescent="0.15">
      <c r="A133" s="97"/>
      <c r="B133" s="98"/>
      <c r="C133" s="210"/>
      <c r="D133" s="211"/>
      <c r="E133" s="101"/>
      <c r="F133" s="102"/>
      <c r="G133" s="101"/>
      <c r="H133" s="199" t="s">
        <v>139</v>
      </c>
      <c r="I133" s="130" t="s">
        <v>196</v>
      </c>
      <c r="J133" s="105" t="s">
        <v>153</v>
      </c>
      <c r="K133" s="154"/>
      <c r="L133" s="139" t="s">
        <v>196</v>
      </c>
      <c r="M133" s="136" t="s">
        <v>162</v>
      </c>
      <c r="N133" s="136"/>
      <c r="O133" s="139" t="s">
        <v>196</v>
      </c>
      <c r="P133" s="136" t="s">
        <v>163</v>
      </c>
      <c r="Q133" s="137"/>
      <c r="R133" s="137"/>
      <c r="S133" s="137"/>
      <c r="T133" s="137"/>
      <c r="U133" s="137"/>
      <c r="V133" s="137"/>
      <c r="W133" s="137"/>
      <c r="X133" s="145"/>
      <c r="Y133" s="134"/>
      <c r="Z133" s="95"/>
      <c r="AA133" s="95"/>
      <c r="AB133" s="96"/>
      <c r="AC133" s="347"/>
      <c r="AD133" s="347"/>
      <c r="AE133" s="347"/>
      <c r="AF133" s="347"/>
      <c r="AI133" s="109" t="str">
        <f>"52:field216:" &amp; IF(I133="■",1,IF(L133="■",3,IF(O133="■",2,0)))</f>
        <v>52:field216:0</v>
      </c>
    </row>
    <row r="134" spans="1:36" s="109" customFormat="1" ht="18.75" customHeight="1" x14ac:dyDescent="0.15">
      <c r="A134" s="97"/>
      <c r="B134" s="98"/>
      <c r="C134" s="210"/>
      <c r="D134" s="211"/>
      <c r="E134" s="101"/>
      <c r="F134" s="102"/>
      <c r="G134" s="101"/>
      <c r="H134" s="199" t="s">
        <v>128</v>
      </c>
      <c r="I134" s="130" t="s">
        <v>196</v>
      </c>
      <c r="J134" s="105" t="s">
        <v>153</v>
      </c>
      <c r="K134" s="154"/>
      <c r="L134" s="174" t="s">
        <v>196</v>
      </c>
      <c r="M134" s="105" t="s">
        <v>161</v>
      </c>
      <c r="N134" s="137"/>
      <c r="O134" s="141"/>
      <c r="P134" s="141"/>
      <c r="Q134" s="141"/>
      <c r="R134" s="141"/>
      <c r="S134" s="141"/>
      <c r="T134" s="141"/>
      <c r="U134" s="141"/>
      <c r="V134" s="141"/>
      <c r="W134" s="141"/>
      <c r="X134" s="142"/>
      <c r="Y134" s="134"/>
      <c r="Z134" s="95"/>
      <c r="AA134" s="95"/>
      <c r="AB134" s="96"/>
      <c r="AC134" s="347"/>
      <c r="AD134" s="347"/>
      <c r="AE134" s="347"/>
      <c r="AF134" s="347"/>
      <c r="AI134" s="109" t="str">
        <f>"52:field210:" &amp; IF(I134="■",1,IF(L134="■",2,0))</f>
        <v>52:field210:0</v>
      </c>
    </row>
    <row r="135" spans="1:36" s="109" customFormat="1" ht="18.75" customHeight="1" x14ac:dyDescent="0.15">
      <c r="A135" s="97"/>
      <c r="B135" s="98"/>
      <c r="C135" s="210"/>
      <c r="D135" s="211"/>
      <c r="E135" s="101"/>
      <c r="F135" s="102"/>
      <c r="G135" s="101"/>
      <c r="H135" s="200" t="s">
        <v>138</v>
      </c>
      <c r="I135" s="130" t="s">
        <v>196</v>
      </c>
      <c r="J135" s="105" t="s">
        <v>153</v>
      </c>
      <c r="K135" s="154"/>
      <c r="L135" s="174" t="s">
        <v>196</v>
      </c>
      <c r="M135" s="105" t="s">
        <v>161</v>
      </c>
      <c r="N135" s="137"/>
      <c r="O135" s="141"/>
      <c r="P135" s="141"/>
      <c r="Q135" s="141"/>
      <c r="R135" s="141"/>
      <c r="S135" s="141"/>
      <c r="T135" s="141"/>
      <c r="U135" s="141"/>
      <c r="V135" s="141"/>
      <c r="W135" s="141"/>
      <c r="X135" s="142"/>
      <c r="Y135" s="134"/>
      <c r="Z135" s="95"/>
      <c r="AA135" s="95"/>
      <c r="AB135" s="96"/>
      <c r="AC135" s="347"/>
      <c r="AD135" s="347"/>
      <c r="AE135" s="347"/>
      <c r="AF135" s="347"/>
      <c r="AI135" s="109" t="str">
        <f>"52:field211:" &amp; IF(I135="■",1,IF(L135="■",2,0))</f>
        <v>52:field211:0</v>
      </c>
    </row>
    <row r="136" spans="1:36" s="109" customFormat="1" ht="18.75" customHeight="1" x14ac:dyDescent="0.15">
      <c r="A136" s="97"/>
      <c r="B136" s="98"/>
      <c r="C136" s="210"/>
      <c r="D136" s="211"/>
      <c r="E136" s="101"/>
      <c r="F136" s="102"/>
      <c r="G136" s="101"/>
      <c r="H136" s="200" t="s">
        <v>127</v>
      </c>
      <c r="I136" s="130" t="s">
        <v>196</v>
      </c>
      <c r="J136" s="105" t="s">
        <v>153</v>
      </c>
      <c r="K136" s="154"/>
      <c r="L136" s="174" t="s">
        <v>196</v>
      </c>
      <c r="M136" s="105" t="s">
        <v>161</v>
      </c>
      <c r="N136" s="137"/>
      <c r="O136" s="141"/>
      <c r="P136" s="141"/>
      <c r="Q136" s="141"/>
      <c r="R136" s="141"/>
      <c r="S136" s="141"/>
      <c r="T136" s="141"/>
      <c r="U136" s="141"/>
      <c r="V136" s="141"/>
      <c r="W136" s="141"/>
      <c r="X136" s="142"/>
      <c r="Y136" s="134"/>
      <c r="Z136" s="95"/>
      <c r="AA136" s="95"/>
      <c r="AB136" s="96"/>
      <c r="AC136" s="347"/>
      <c r="AD136" s="347"/>
      <c r="AE136" s="347"/>
      <c r="AF136" s="347"/>
      <c r="AI136" s="109" t="str">
        <f>"52:field212:" &amp; IF(I136="■",1,IF(L136="■",2,0))</f>
        <v>52:field212:0</v>
      </c>
    </row>
    <row r="137" spans="1:36" s="109" customFormat="1" ht="18.75" customHeight="1" x14ac:dyDescent="0.15">
      <c r="A137" s="97"/>
      <c r="B137" s="98"/>
      <c r="C137" s="210"/>
      <c r="D137" s="211"/>
      <c r="E137" s="101"/>
      <c r="F137" s="102"/>
      <c r="G137" s="101"/>
      <c r="H137" s="200" t="s">
        <v>133</v>
      </c>
      <c r="I137" s="130" t="s">
        <v>196</v>
      </c>
      <c r="J137" s="105" t="s">
        <v>153</v>
      </c>
      <c r="K137" s="154"/>
      <c r="L137" s="174" t="s">
        <v>196</v>
      </c>
      <c r="M137" s="105" t="s">
        <v>161</v>
      </c>
      <c r="N137" s="137"/>
      <c r="O137" s="141"/>
      <c r="P137" s="141"/>
      <c r="Q137" s="141"/>
      <c r="R137" s="141"/>
      <c r="S137" s="141"/>
      <c r="T137" s="141"/>
      <c r="U137" s="141"/>
      <c r="V137" s="141"/>
      <c r="W137" s="141"/>
      <c r="X137" s="142"/>
      <c r="Y137" s="134"/>
      <c r="Z137" s="95"/>
      <c r="AA137" s="95"/>
      <c r="AB137" s="96"/>
      <c r="AC137" s="347"/>
      <c r="AD137" s="347"/>
      <c r="AE137" s="347"/>
      <c r="AF137" s="347"/>
      <c r="AI137" s="109" t="str">
        <f>"52:field209:" &amp; IF(I137="■",1,IF(L137="■",2,0))</f>
        <v>52:field209:0</v>
      </c>
    </row>
    <row r="138" spans="1:36" s="109" customFormat="1" ht="18.75" customHeight="1" x14ac:dyDescent="0.15">
      <c r="A138" s="97"/>
      <c r="B138" s="98"/>
      <c r="C138" s="210"/>
      <c r="D138" s="211"/>
      <c r="E138" s="101"/>
      <c r="F138" s="102"/>
      <c r="G138" s="101"/>
      <c r="H138" s="200" t="s">
        <v>227</v>
      </c>
      <c r="I138" s="135" t="s">
        <v>196</v>
      </c>
      <c r="J138" s="136" t="s">
        <v>153</v>
      </c>
      <c r="K138" s="136"/>
      <c r="L138" s="139" t="s">
        <v>196</v>
      </c>
      <c r="M138" s="105" t="s">
        <v>161</v>
      </c>
      <c r="N138" s="136"/>
      <c r="O138" s="136"/>
      <c r="P138" s="136"/>
      <c r="Q138" s="137"/>
      <c r="R138" s="137"/>
      <c r="S138" s="137"/>
      <c r="T138" s="137"/>
      <c r="U138" s="137"/>
      <c r="V138" s="137"/>
      <c r="W138" s="137"/>
      <c r="X138" s="145"/>
      <c r="Y138" s="134"/>
      <c r="Z138" s="95"/>
      <c r="AA138" s="95"/>
      <c r="AB138" s="96"/>
      <c r="AC138" s="347"/>
      <c r="AD138" s="347"/>
      <c r="AE138" s="347"/>
      <c r="AF138" s="347"/>
      <c r="AI138" s="109" t="str">
        <f>"52:field226:" &amp; IF(I138="■",1,IF(L138="■",2,0))</f>
        <v>52:field226:0</v>
      </c>
    </row>
    <row r="139" spans="1:36" s="109" customFormat="1" ht="18.75" customHeight="1" x14ac:dyDescent="0.15">
      <c r="A139" s="97"/>
      <c r="B139" s="98"/>
      <c r="C139" s="210"/>
      <c r="D139" s="211"/>
      <c r="E139" s="101"/>
      <c r="F139" s="102"/>
      <c r="G139" s="101"/>
      <c r="H139" s="200" t="s">
        <v>228</v>
      </c>
      <c r="I139" s="135" t="s">
        <v>196</v>
      </c>
      <c r="J139" s="136" t="s">
        <v>153</v>
      </c>
      <c r="K139" s="136"/>
      <c r="L139" s="139" t="s">
        <v>196</v>
      </c>
      <c r="M139" s="105" t="s">
        <v>161</v>
      </c>
      <c r="N139" s="136"/>
      <c r="O139" s="136"/>
      <c r="P139" s="136"/>
      <c r="Q139" s="137"/>
      <c r="R139" s="137"/>
      <c r="S139" s="137"/>
      <c r="T139" s="137"/>
      <c r="U139" s="137"/>
      <c r="V139" s="137"/>
      <c r="W139" s="137"/>
      <c r="X139" s="145"/>
      <c r="Y139" s="134"/>
      <c r="Z139" s="95"/>
      <c r="AA139" s="95"/>
      <c r="AB139" s="96"/>
      <c r="AC139" s="347"/>
      <c r="AD139" s="347"/>
      <c r="AE139" s="347"/>
      <c r="AF139" s="347"/>
      <c r="AI139" s="109" t="str">
        <f>"52:field227:" &amp; IF(I139="■",1,IF(L139="■",2,0))</f>
        <v>52:field227:0</v>
      </c>
    </row>
    <row r="140" spans="1:36" s="109" customFormat="1" ht="18.75" customHeight="1" x14ac:dyDescent="0.15">
      <c r="A140" s="97"/>
      <c r="B140" s="98"/>
      <c r="C140" s="210"/>
      <c r="D140" s="211"/>
      <c r="E140" s="101"/>
      <c r="F140" s="102"/>
      <c r="G140" s="101"/>
      <c r="H140" s="213" t="s">
        <v>224</v>
      </c>
      <c r="I140" s="135" t="s">
        <v>196</v>
      </c>
      <c r="J140" s="136" t="s">
        <v>153</v>
      </c>
      <c r="K140" s="136"/>
      <c r="L140" s="139" t="s">
        <v>196</v>
      </c>
      <c r="M140" s="136" t="s">
        <v>154</v>
      </c>
      <c r="N140" s="136"/>
      <c r="O140" s="139" t="s">
        <v>196</v>
      </c>
      <c r="P140" s="136" t="s">
        <v>155</v>
      </c>
      <c r="Q140" s="141"/>
      <c r="R140" s="141"/>
      <c r="S140" s="141"/>
      <c r="T140" s="141"/>
      <c r="U140" s="214"/>
      <c r="V140" s="214"/>
      <c r="W140" s="214"/>
      <c r="X140" s="215"/>
      <c r="Y140" s="134"/>
      <c r="Z140" s="95"/>
      <c r="AA140" s="95"/>
      <c r="AB140" s="96"/>
      <c r="AC140" s="347"/>
      <c r="AD140" s="347"/>
      <c r="AE140" s="347"/>
      <c r="AF140" s="347"/>
      <c r="AI140" s="109" t="str">
        <f>"52:field225:" &amp; IF(I140="■",1,IF(L140="■",2,IF(O140="■",3,0)))</f>
        <v>52:field225:0</v>
      </c>
    </row>
    <row r="141" spans="1:36" s="109" customFormat="1" ht="18.75" customHeight="1" x14ac:dyDescent="0.15">
      <c r="A141" s="97"/>
      <c r="B141" s="98"/>
      <c r="C141" s="210"/>
      <c r="D141" s="211"/>
      <c r="E141" s="101"/>
      <c r="F141" s="102"/>
      <c r="G141" s="101"/>
      <c r="H141" s="200" t="s">
        <v>103</v>
      </c>
      <c r="I141" s="135" t="s">
        <v>196</v>
      </c>
      <c r="J141" s="136" t="s">
        <v>153</v>
      </c>
      <c r="K141" s="136"/>
      <c r="L141" s="139" t="s">
        <v>196</v>
      </c>
      <c r="M141" s="136" t="s">
        <v>157</v>
      </c>
      <c r="N141" s="136"/>
      <c r="O141" s="139" t="s">
        <v>196</v>
      </c>
      <c r="P141" s="136" t="s">
        <v>158</v>
      </c>
      <c r="Q141" s="177"/>
      <c r="R141" s="139" t="s">
        <v>196</v>
      </c>
      <c r="S141" s="136" t="s">
        <v>167</v>
      </c>
      <c r="T141" s="136"/>
      <c r="U141" s="177"/>
      <c r="V141" s="177"/>
      <c r="W141" s="177"/>
      <c r="X141" s="178"/>
      <c r="Y141" s="134"/>
      <c r="Z141" s="95"/>
      <c r="AA141" s="95"/>
      <c r="AB141" s="96"/>
      <c r="AC141" s="347"/>
      <c r="AD141" s="347"/>
      <c r="AE141" s="347"/>
      <c r="AF141" s="347"/>
      <c r="AI141" s="109" t="str">
        <f>"52:serteikyo_kyoka_code:" &amp; IF(I141="■",1,IF(L141="■",6,IF(O141="■",5,IF(R141="■",7,0))))</f>
        <v>52:serteikyo_kyoka_code:0</v>
      </c>
    </row>
    <row r="142" spans="1:36" s="109" customFormat="1" ht="18.75" customHeight="1" x14ac:dyDescent="0.15">
      <c r="A142" s="156"/>
      <c r="B142" s="157"/>
      <c r="C142" s="158"/>
      <c r="D142" s="159"/>
      <c r="E142" s="160"/>
      <c r="F142" s="161"/>
      <c r="G142" s="162"/>
      <c r="H142" s="85" t="s">
        <v>234</v>
      </c>
      <c r="I142" s="163" t="s">
        <v>196</v>
      </c>
      <c r="J142" s="86" t="s">
        <v>153</v>
      </c>
      <c r="K142" s="86"/>
      <c r="L142" s="164" t="s">
        <v>196</v>
      </c>
      <c r="M142" s="86" t="s">
        <v>218</v>
      </c>
      <c r="N142" s="87"/>
      <c r="O142" s="164" t="s">
        <v>196</v>
      </c>
      <c r="P142" s="89" t="s">
        <v>219</v>
      </c>
      <c r="Q142" s="88"/>
      <c r="R142" s="164" t="s">
        <v>196</v>
      </c>
      <c r="S142" s="86" t="s">
        <v>220</v>
      </c>
      <c r="T142" s="88"/>
      <c r="U142" s="164" t="s">
        <v>196</v>
      </c>
      <c r="V142" s="86" t="s">
        <v>221</v>
      </c>
      <c r="W142" s="90"/>
      <c r="X142" s="91"/>
      <c r="Y142" s="165"/>
      <c r="Z142" s="165"/>
      <c r="AA142" s="165"/>
      <c r="AB142" s="166"/>
      <c r="AC142" s="348"/>
      <c r="AD142" s="348"/>
      <c r="AE142" s="348"/>
      <c r="AF142" s="348"/>
      <c r="AI142" s="109" t="str">
        <f>"52:shoguukaizen_code:"&amp;IF(I142="■",1,IF(L142="■",7,IF(O142="■",8,IF(R142="■",9,IF(U142="■","A",0)))))</f>
        <v>52:shoguukaizen_code:0</v>
      </c>
    </row>
    <row r="143" spans="1:36" s="109" customFormat="1" ht="18.75" customHeight="1" x14ac:dyDescent="0.15">
      <c r="A143" s="122"/>
      <c r="B143" s="123"/>
      <c r="C143" s="221"/>
      <c r="D143" s="222"/>
      <c r="E143" s="117"/>
      <c r="F143" s="126"/>
      <c r="G143" s="117"/>
      <c r="H143" s="193" t="s">
        <v>92</v>
      </c>
      <c r="I143" s="167" t="s">
        <v>196</v>
      </c>
      <c r="J143" s="168" t="s">
        <v>179</v>
      </c>
      <c r="K143" s="169"/>
      <c r="L143" s="170"/>
      <c r="M143" s="171" t="s">
        <v>196</v>
      </c>
      <c r="N143" s="168" t="s">
        <v>180</v>
      </c>
      <c r="O143" s="172"/>
      <c r="P143" s="172"/>
      <c r="Q143" s="172"/>
      <c r="R143" s="172"/>
      <c r="S143" s="172"/>
      <c r="T143" s="172"/>
      <c r="U143" s="172"/>
      <c r="V143" s="172"/>
      <c r="W143" s="172"/>
      <c r="X143" s="173"/>
      <c r="Y143" s="129" t="s">
        <v>196</v>
      </c>
      <c r="Z143" s="115" t="s">
        <v>152</v>
      </c>
      <c r="AA143" s="115"/>
      <c r="AB143" s="128"/>
      <c r="AC143" s="346"/>
      <c r="AD143" s="346"/>
      <c r="AE143" s="346"/>
      <c r="AF143" s="346"/>
      <c r="AG143" s="109" t="str">
        <f>"ser_code = '" &amp; IF(A154="■",52,"") &amp; "'"</f>
        <v>ser_code = ''</v>
      </c>
      <c r="AI143" s="109" t="str">
        <f>"52:yakan_kinmu_code:" &amp; IF(I143="■",1,IF(M143="■",6,0))</f>
        <v>52:yakan_kinmu_code:0</v>
      </c>
      <c r="AJ143" s="109" t="str">
        <f>"52:field203:" &amp; IF(Y143="■",1,IF(Y144="■",2,0))</f>
        <v>52:field203:0</v>
      </c>
    </row>
    <row r="144" spans="1:36" s="109" customFormat="1" ht="18.75" customHeight="1" x14ac:dyDescent="0.15">
      <c r="A144" s="97"/>
      <c r="B144" s="98"/>
      <c r="C144" s="210"/>
      <c r="D144" s="211"/>
      <c r="E144" s="101"/>
      <c r="F144" s="102"/>
      <c r="G144" s="101"/>
      <c r="H144" s="349" t="s">
        <v>89</v>
      </c>
      <c r="I144" s="175" t="s">
        <v>196</v>
      </c>
      <c r="J144" s="147" t="s">
        <v>153</v>
      </c>
      <c r="K144" s="147"/>
      <c r="L144" s="179"/>
      <c r="M144" s="176" t="s">
        <v>196</v>
      </c>
      <c r="N144" s="147" t="s">
        <v>168</v>
      </c>
      <c r="O144" s="147"/>
      <c r="P144" s="179"/>
      <c r="Q144" s="176" t="s">
        <v>196</v>
      </c>
      <c r="R144" s="179" t="s">
        <v>169</v>
      </c>
      <c r="S144" s="179"/>
      <c r="T144" s="179"/>
      <c r="U144" s="176" t="s">
        <v>196</v>
      </c>
      <c r="V144" s="179" t="s">
        <v>170</v>
      </c>
      <c r="W144" s="179"/>
      <c r="X144" s="180"/>
      <c r="Y144" s="120" t="s">
        <v>196</v>
      </c>
      <c r="Z144" s="94" t="s">
        <v>156</v>
      </c>
      <c r="AA144" s="95"/>
      <c r="AB144" s="96"/>
      <c r="AC144" s="347"/>
      <c r="AD144" s="347"/>
      <c r="AE144" s="347"/>
      <c r="AF144" s="347"/>
      <c r="AG144" s="109" t="str">
        <f>"52:sisetukbn_code:" &amp; IF(D154="■",9,0)</f>
        <v>52:sisetukbn_code:0</v>
      </c>
      <c r="AI144" s="109" t="str">
        <f>"52:"&amp;IF(AND(I144="□",M144="□",Q144="□",U144="□",I145="□",M145="□",Q145="□",I146="□"),"ketu_doctor_code:0",IF(I144="■","ketu_doctor_code:1:ketu_kangos_code:1:ketu_kshoku_code:1:ketu_rryoho_code:1:ketu_sryoho_code:1:ketu_ksiensou_code:1:ketu_gengo_code:1",IF(M144="■","ketu_doctor_code:2","ketu_doctor_code:1")
&amp;IF(Q144="■",":ketu_kangos_code:2",":ketu_kangos_code:1")
&amp;IF(U144="■",":ketu_kshoku_code:2",":ketu_kshoku_code:1")
&amp;IF(I145="■",":ketu_rryoho_code:2",":ketu_rryoho_code:1")
&amp;IF(M145="■",":ketu_sryoho_code:2",":ketu_sryoho_code:1")
&amp;IF(Q145="■",":ketu_ksiensou_code:2",":ketu_ksiensou_code:1")
&amp;IF(I146="■",":ketu_gengo_code:2",":ketu_gengo_code:1")))</f>
        <v>52:ketu_doctor_code:0</v>
      </c>
    </row>
    <row r="145" spans="1:38" s="109" customFormat="1" ht="18.75" customHeight="1" x14ac:dyDescent="0.15">
      <c r="A145" s="97"/>
      <c r="B145" s="98"/>
      <c r="C145" s="210"/>
      <c r="D145" s="211"/>
      <c r="E145" s="101"/>
      <c r="F145" s="102"/>
      <c r="G145" s="101"/>
      <c r="H145" s="343"/>
      <c r="I145" s="120" t="s">
        <v>196</v>
      </c>
      <c r="J145" s="94" t="s">
        <v>171</v>
      </c>
      <c r="K145" s="94"/>
      <c r="L145" s="93"/>
      <c r="M145" s="114" t="s">
        <v>196</v>
      </c>
      <c r="N145" s="94" t="s">
        <v>172</v>
      </c>
      <c r="O145" s="94"/>
      <c r="P145" s="93"/>
      <c r="Q145" s="114" t="s">
        <v>196</v>
      </c>
      <c r="R145" s="93" t="s">
        <v>199</v>
      </c>
      <c r="S145" s="93"/>
      <c r="T145" s="93"/>
      <c r="U145" s="93"/>
      <c r="V145" s="93"/>
      <c r="W145" s="93"/>
      <c r="X145" s="153"/>
      <c r="Y145" s="134"/>
      <c r="Z145" s="95"/>
      <c r="AA145" s="95"/>
      <c r="AB145" s="96"/>
      <c r="AC145" s="347"/>
      <c r="AD145" s="347"/>
      <c r="AE145" s="347"/>
      <c r="AF145" s="347"/>
    </row>
    <row r="146" spans="1:38" s="109" customFormat="1" ht="18.75" customHeight="1" x14ac:dyDescent="0.15">
      <c r="A146" s="97"/>
      <c r="B146" s="98"/>
      <c r="C146" s="210"/>
      <c r="D146" s="211"/>
      <c r="E146" s="101"/>
      <c r="F146" s="102"/>
      <c r="G146" s="101"/>
      <c r="H146" s="350"/>
      <c r="I146" s="130" t="s">
        <v>196</v>
      </c>
      <c r="J146" s="105" t="s">
        <v>200</v>
      </c>
      <c r="K146" s="105"/>
      <c r="L146" s="131"/>
      <c r="M146" s="174"/>
      <c r="N146" s="105"/>
      <c r="O146" s="105"/>
      <c r="P146" s="131"/>
      <c r="Q146" s="131"/>
      <c r="R146" s="131"/>
      <c r="S146" s="131"/>
      <c r="T146" s="131"/>
      <c r="U146" s="131"/>
      <c r="V146" s="131"/>
      <c r="W146" s="131"/>
      <c r="X146" s="198"/>
      <c r="Y146" s="134"/>
      <c r="Z146" s="95"/>
      <c r="AA146" s="95"/>
      <c r="AB146" s="96"/>
      <c r="AC146" s="347"/>
      <c r="AD146" s="347"/>
      <c r="AE146" s="347"/>
      <c r="AF146" s="347"/>
    </row>
    <row r="147" spans="1:38" s="109" customFormat="1" ht="18.75" customHeight="1" x14ac:dyDescent="0.15">
      <c r="A147" s="97"/>
      <c r="B147" s="98"/>
      <c r="C147" s="210"/>
      <c r="D147" s="211"/>
      <c r="E147" s="101"/>
      <c r="F147" s="102"/>
      <c r="G147" s="101"/>
      <c r="H147" s="200" t="s">
        <v>93</v>
      </c>
      <c r="I147" s="135" t="s">
        <v>196</v>
      </c>
      <c r="J147" s="136" t="s">
        <v>159</v>
      </c>
      <c r="K147" s="137"/>
      <c r="L147" s="138"/>
      <c r="M147" s="139" t="s">
        <v>196</v>
      </c>
      <c r="N147" s="136" t="s">
        <v>160</v>
      </c>
      <c r="O147" s="137"/>
      <c r="P147" s="137"/>
      <c r="Q147" s="137"/>
      <c r="R147" s="137"/>
      <c r="S147" s="137"/>
      <c r="T147" s="137"/>
      <c r="U147" s="137"/>
      <c r="V147" s="137"/>
      <c r="W147" s="137"/>
      <c r="X147" s="145"/>
      <c r="Y147" s="134"/>
      <c r="Z147" s="95"/>
      <c r="AA147" s="95"/>
      <c r="AB147" s="96"/>
      <c r="AC147" s="347"/>
      <c r="AD147" s="347"/>
      <c r="AE147" s="347"/>
      <c r="AF147" s="347"/>
      <c r="AI147" s="109" t="str">
        <f>"52:unitcare_code:" &amp; IF(I147="■",1,IF(M147="■",2,0))</f>
        <v>52:unitcare_code:0</v>
      </c>
    </row>
    <row r="148" spans="1:38" s="109" customFormat="1" ht="18.75" customHeight="1" x14ac:dyDescent="0.15">
      <c r="A148" s="97"/>
      <c r="B148" s="98"/>
      <c r="C148" s="210"/>
      <c r="D148" s="211"/>
      <c r="E148" s="101"/>
      <c r="F148" s="102"/>
      <c r="G148" s="101"/>
      <c r="H148" s="200" t="s">
        <v>96</v>
      </c>
      <c r="I148" s="135" t="s">
        <v>196</v>
      </c>
      <c r="J148" s="136" t="s">
        <v>197</v>
      </c>
      <c r="K148" s="137"/>
      <c r="L148" s="138"/>
      <c r="M148" s="139" t="s">
        <v>196</v>
      </c>
      <c r="N148" s="136" t="s">
        <v>198</v>
      </c>
      <c r="O148" s="137"/>
      <c r="P148" s="137"/>
      <c r="Q148" s="137"/>
      <c r="R148" s="137"/>
      <c r="S148" s="137"/>
      <c r="T148" s="137"/>
      <c r="U148" s="137"/>
      <c r="V148" s="137"/>
      <c r="W148" s="137"/>
      <c r="X148" s="145"/>
      <c r="Y148" s="134"/>
      <c r="Z148" s="95"/>
      <c r="AA148" s="95"/>
      <c r="AB148" s="96"/>
      <c r="AC148" s="347"/>
      <c r="AD148" s="347"/>
      <c r="AE148" s="347"/>
      <c r="AF148" s="347"/>
      <c r="AI148" s="109" t="str">
        <f>"52:sintaikousoku_code:" &amp; IF(I148="■",1,IF(M148="■",2,0))</f>
        <v>52:sintaikousoku_code:0</v>
      </c>
    </row>
    <row r="149" spans="1:38" s="109" customFormat="1" ht="18.75" customHeight="1" x14ac:dyDescent="0.15">
      <c r="A149" s="97"/>
      <c r="B149" s="98"/>
      <c r="C149" s="210"/>
      <c r="D149" s="211"/>
      <c r="E149" s="101"/>
      <c r="F149" s="102"/>
      <c r="G149" s="101"/>
      <c r="H149" s="200" t="s">
        <v>130</v>
      </c>
      <c r="I149" s="135" t="s">
        <v>196</v>
      </c>
      <c r="J149" s="136" t="s">
        <v>197</v>
      </c>
      <c r="K149" s="137"/>
      <c r="L149" s="138"/>
      <c r="M149" s="139" t="s">
        <v>196</v>
      </c>
      <c r="N149" s="136" t="s">
        <v>198</v>
      </c>
      <c r="O149" s="137"/>
      <c r="P149" s="137"/>
      <c r="Q149" s="137"/>
      <c r="R149" s="137"/>
      <c r="S149" s="137"/>
      <c r="T149" s="137"/>
      <c r="U149" s="137"/>
      <c r="V149" s="137"/>
      <c r="W149" s="137"/>
      <c r="X149" s="145"/>
      <c r="Y149" s="134"/>
      <c r="Z149" s="95"/>
      <c r="AA149" s="95"/>
      <c r="AB149" s="96"/>
      <c r="AC149" s="347"/>
      <c r="AD149" s="347"/>
      <c r="AE149" s="347"/>
      <c r="AF149" s="347"/>
      <c r="AI149" s="109" t="str">
        <f>"52:field208:" &amp; IF(I149="■",1,IF(M149="■",2,0))</f>
        <v>52:field208:0</v>
      </c>
    </row>
    <row r="150" spans="1:38" s="109" customFormat="1" ht="19.5" customHeight="1" x14ac:dyDescent="0.15">
      <c r="A150" s="97"/>
      <c r="B150" s="98"/>
      <c r="C150" s="99"/>
      <c r="D150" s="100"/>
      <c r="E150" s="101"/>
      <c r="F150" s="102"/>
      <c r="G150" s="103"/>
      <c r="H150" s="104" t="s">
        <v>215</v>
      </c>
      <c r="I150" s="135" t="s">
        <v>196</v>
      </c>
      <c r="J150" s="136" t="s">
        <v>197</v>
      </c>
      <c r="K150" s="137"/>
      <c r="L150" s="138"/>
      <c r="M150" s="139" t="s">
        <v>196</v>
      </c>
      <c r="N150" s="136" t="s">
        <v>216</v>
      </c>
      <c r="O150" s="140"/>
      <c r="P150" s="136"/>
      <c r="Q150" s="141"/>
      <c r="R150" s="141"/>
      <c r="S150" s="141"/>
      <c r="T150" s="141"/>
      <c r="U150" s="141"/>
      <c r="V150" s="141"/>
      <c r="W150" s="141"/>
      <c r="X150" s="142"/>
      <c r="Y150" s="95"/>
      <c r="Z150" s="95"/>
      <c r="AA150" s="95"/>
      <c r="AB150" s="96"/>
      <c r="AC150" s="347"/>
      <c r="AD150" s="347"/>
      <c r="AE150" s="347"/>
      <c r="AF150" s="347"/>
      <c r="AI150" s="109" t="str">
        <f>"52:field223:" &amp; IF(I150="■",1,IF(M150="■",2,0))</f>
        <v>52:field223:0</v>
      </c>
    </row>
    <row r="151" spans="1:38" s="109" customFormat="1" ht="19.5" customHeight="1" x14ac:dyDescent="0.15">
      <c r="A151" s="97"/>
      <c r="B151" s="98"/>
      <c r="C151" s="99"/>
      <c r="D151" s="100"/>
      <c r="E151" s="101"/>
      <c r="F151" s="102"/>
      <c r="G151" s="103"/>
      <c r="H151" s="104" t="s">
        <v>226</v>
      </c>
      <c r="I151" s="135" t="s">
        <v>196</v>
      </c>
      <c r="J151" s="136" t="s">
        <v>197</v>
      </c>
      <c r="K151" s="137"/>
      <c r="L151" s="138"/>
      <c r="M151" s="139" t="s">
        <v>196</v>
      </c>
      <c r="N151" s="136" t="s">
        <v>216</v>
      </c>
      <c r="O151" s="140"/>
      <c r="P151" s="136"/>
      <c r="Q151" s="141"/>
      <c r="R151" s="141"/>
      <c r="S151" s="141"/>
      <c r="T151" s="141"/>
      <c r="U151" s="141"/>
      <c r="V151" s="141"/>
      <c r="W151" s="141"/>
      <c r="X151" s="142"/>
      <c r="Y151" s="95"/>
      <c r="Z151" s="95"/>
      <c r="AA151" s="95"/>
      <c r="AB151" s="96"/>
      <c r="AC151" s="347"/>
      <c r="AD151" s="347"/>
      <c r="AE151" s="347"/>
      <c r="AF151" s="347"/>
      <c r="AI151" s="109" t="str">
        <f>"52:field232:" &amp; IF(I151="■",1,IF(M151="■",2,0))</f>
        <v>52:field232:0</v>
      </c>
    </row>
    <row r="152" spans="1:38" s="109" customFormat="1" ht="18.75" customHeight="1" x14ac:dyDescent="0.15">
      <c r="A152" s="97"/>
      <c r="B152" s="98"/>
      <c r="C152" s="210"/>
      <c r="D152" s="211"/>
      <c r="E152" s="101"/>
      <c r="F152" s="102"/>
      <c r="G152" s="101"/>
      <c r="H152" s="351" t="s">
        <v>131</v>
      </c>
      <c r="I152" s="353" t="s">
        <v>196</v>
      </c>
      <c r="J152" s="344" t="s">
        <v>153</v>
      </c>
      <c r="K152" s="344"/>
      <c r="L152" s="355" t="s">
        <v>196</v>
      </c>
      <c r="M152" s="344" t="s">
        <v>161</v>
      </c>
      <c r="N152" s="344"/>
      <c r="O152" s="147"/>
      <c r="P152" s="147"/>
      <c r="Q152" s="147"/>
      <c r="R152" s="147"/>
      <c r="S152" s="147"/>
      <c r="T152" s="147"/>
      <c r="U152" s="147"/>
      <c r="V152" s="147"/>
      <c r="W152" s="147"/>
      <c r="X152" s="151"/>
      <c r="Y152" s="134"/>
      <c r="Z152" s="95"/>
      <c r="AA152" s="95"/>
      <c r="AB152" s="96"/>
      <c r="AC152" s="347"/>
      <c r="AD152" s="347"/>
      <c r="AE152" s="347"/>
      <c r="AF152" s="347"/>
      <c r="AI152" s="109" t="str">
        <f>"52:field206:" &amp; IF(I152="■",1,IF(L152="■",2,0))</f>
        <v>52:field206:0</v>
      </c>
    </row>
    <row r="153" spans="1:38" s="109" customFormat="1" ht="18.75" customHeight="1" x14ac:dyDescent="0.15">
      <c r="A153" s="97"/>
      <c r="B153" s="98"/>
      <c r="C153" s="210"/>
      <c r="D153" s="211"/>
      <c r="E153" s="101"/>
      <c r="F153" s="102"/>
      <c r="G153" s="101"/>
      <c r="H153" s="352"/>
      <c r="I153" s="354"/>
      <c r="J153" s="345"/>
      <c r="K153" s="345"/>
      <c r="L153" s="356"/>
      <c r="M153" s="345"/>
      <c r="N153" s="345"/>
      <c r="O153" s="105"/>
      <c r="P153" s="105"/>
      <c r="Q153" s="105"/>
      <c r="R153" s="105"/>
      <c r="S153" s="105"/>
      <c r="T153" s="105"/>
      <c r="U153" s="105"/>
      <c r="V153" s="105"/>
      <c r="W153" s="105"/>
      <c r="X153" s="149"/>
      <c r="Y153" s="134"/>
      <c r="Z153" s="95"/>
      <c r="AA153" s="95"/>
      <c r="AB153" s="96"/>
      <c r="AC153" s="347"/>
      <c r="AD153" s="347"/>
      <c r="AE153" s="347"/>
      <c r="AF153" s="347"/>
    </row>
    <row r="154" spans="1:38" ht="19.5" customHeight="1" x14ac:dyDescent="0.15">
      <c r="A154" s="120" t="s">
        <v>196</v>
      </c>
      <c r="B154" s="98">
        <v>52</v>
      </c>
      <c r="C154" s="210" t="s">
        <v>211</v>
      </c>
      <c r="D154" s="120" t="s">
        <v>196</v>
      </c>
      <c r="E154" s="101" t="s">
        <v>212</v>
      </c>
      <c r="F154" s="102"/>
      <c r="G154" s="103"/>
      <c r="H154" s="104" t="s">
        <v>251</v>
      </c>
      <c r="I154" s="135" t="s">
        <v>196</v>
      </c>
      <c r="J154" s="105" t="s">
        <v>249</v>
      </c>
      <c r="K154" s="154"/>
      <c r="L154" s="106"/>
      <c r="M154" s="139" t="s">
        <v>196</v>
      </c>
      <c r="N154" s="105" t="s">
        <v>250</v>
      </c>
      <c r="O154" s="208"/>
      <c r="P154" s="105"/>
      <c r="Q154" s="132"/>
      <c r="R154" s="132"/>
      <c r="S154" s="132"/>
      <c r="T154" s="132"/>
      <c r="U154" s="132"/>
      <c r="V154" s="132"/>
      <c r="W154" s="132"/>
      <c r="X154" s="133"/>
      <c r="Y154" s="150"/>
      <c r="Z154" s="94"/>
      <c r="AA154" s="95"/>
      <c r="AB154" s="96"/>
      <c r="AC154" s="347"/>
      <c r="AD154" s="347"/>
      <c r="AE154" s="347"/>
      <c r="AF154" s="347"/>
      <c r="AG154" s="93"/>
      <c r="AH154" s="93"/>
      <c r="AI154" s="109" t="str">
        <f>"52:field242:" &amp; IF(I154="■",1,IF(M154="■",2,0))</f>
        <v>52:field242:0</v>
      </c>
      <c r="AJ154" s="93"/>
      <c r="AK154" s="93"/>
      <c r="AL154" s="93"/>
    </row>
    <row r="155" spans="1:38" s="109" customFormat="1" ht="18.75" customHeight="1" x14ac:dyDescent="0.15">
      <c r="A155" s="97"/>
      <c r="B155" s="98"/>
      <c r="C155" s="210"/>
      <c r="D155" s="211"/>
      <c r="E155" s="101"/>
      <c r="F155" s="102"/>
      <c r="G155" s="101"/>
      <c r="H155" s="200" t="s">
        <v>98</v>
      </c>
      <c r="I155" s="130" t="s">
        <v>196</v>
      </c>
      <c r="J155" s="105" t="s">
        <v>153</v>
      </c>
      <c r="K155" s="154"/>
      <c r="L155" s="174" t="s">
        <v>196</v>
      </c>
      <c r="M155" s="105" t="s">
        <v>161</v>
      </c>
      <c r="N155" s="137"/>
      <c r="O155" s="137"/>
      <c r="P155" s="137"/>
      <c r="Q155" s="137"/>
      <c r="R155" s="137"/>
      <c r="S155" s="137"/>
      <c r="T155" s="137"/>
      <c r="U155" s="137"/>
      <c r="V155" s="137"/>
      <c r="W155" s="137"/>
      <c r="X155" s="145"/>
      <c r="Y155" s="134"/>
      <c r="Z155" s="95"/>
      <c r="AA155" s="95"/>
      <c r="AB155" s="96"/>
      <c r="AC155" s="347"/>
      <c r="AD155" s="347"/>
      <c r="AE155" s="347"/>
      <c r="AF155" s="347"/>
      <c r="AI155" s="109" t="str">
        <f>"52:yakinhaiti_code:" &amp; IF(I155="■",1,IF(L155="■",2,0))</f>
        <v>52:yakinhaiti_code:0</v>
      </c>
    </row>
    <row r="156" spans="1:38" s="109" customFormat="1" ht="18.75" customHeight="1" x14ac:dyDescent="0.15">
      <c r="A156" s="97"/>
      <c r="B156" s="98"/>
      <c r="C156" s="210"/>
      <c r="D156" s="211"/>
      <c r="E156" s="101"/>
      <c r="F156" s="102"/>
      <c r="G156" s="101"/>
      <c r="H156" s="200" t="s">
        <v>94</v>
      </c>
      <c r="I156" s="130" t="s">
        <v>196</v>
      </c>
      <c r="J156" s="105" t="s">
        <v>153</v>
      </c>
      <c r="K156" s="154"/>
      <c r="L156" s="174" t="s">
        <v>196</v>
      </c>
      <c r="M156" s="105" t="s">
        <v>161</v>
      </c>
      <c r="N156" s="137"/>
      <c r="O156" s="137"/>
      <c r="P156" s="137"/>
      <c r="Q156" s="137"/>
      <c r="R156" s="137"/>
      <c r="S156" s="137"/>
      <c r="T156" s="137"/>
      <c r="U156" s="137"/>
      <c r="V156" s="137"/>
      <c r="W156" s="137"/>
      <c r="X156" s="145"/>
      <c r="Y156" s="134"/>
      <c r="Z156" s="95"/>
      <c r="AA156" s="95"/>
      <c r="AB156" s="96"/>
      <c r="AC156" s="347"/>
      <c r="AD156" s="347"/>
      <c r="AE156" s="347"/>
      <c r="AF156" s="347"/>
      <c r="AI156" s="109" t="str">
        <f>"52:ninticare_code:" &amp; IF(I156="■",1,IF(L156="■",2,0))</f>
        <v>52:ninticare_code:0</v>
      </c>
    </row>
    <row r="157" spans="1:38" s="109" customFormat="1" ht="18.75" customHeight="1" x14ac:dyDescent="0.15">
      <c r="A157" s="97"/>
      <c r="B157" s="98"/>
      <c r="C157" s="210"/>
      <c r="D157" s="211"/>
      <c r="E157" s="101"/>
      <c r="F157" s="102"/>
      <c r="G157" s="101"/>
      <c r="H157" s="205" t="s">
        <v>114</v>
      </c>
      <c r="I157" s="130" t="s">
        <v>196</v>
      </c>
      <c r="J157" s="105" t="s">
        <v>153</v>
      </c>
      <c r="K157" s="154"/>
      <c r="L157" s="174" t="s">
        <v>196</v>
      </c>
      <c r="M157" s="105" t="s">
        <v>161</v>
      </c>
      <c r="N157" s="137"/>
      <c r="O157" s="137"/>
      <c r="P157" s="137"/>
      <c r="Q157" s="137"/>
      <c r="R157" s="137"/>
      <c r="S157" s="137"/>
      <c r="T157" s="137"/>
      <c r="U157" s="137"/>
      <c r="V157" s="137"/>
      <c r="W157" s="137"/>
      <c r="X157" s="145"/>
      <c r="Y157" s="134"/>
      <c r="Z157" s="95"/>
      <c r="AA157" s="95"/>
      <c r="AB157" s="96"/>
      <c r="AC157" s="347"/>
      <c r="AD157" s="347"/>
      <c r="AE157" s="347"/>
      <c r="AF157" s="347"/>
      <c r="AI157" s="109" t="str">
        <f>"52:jyakuninti_uke_code:" &amp; IF(I157="■",1,IF(L157="■",2,0))</f>
        <v>52:jyakuninti_uke_code:0</v>
      </c>
    </row>
    <row r="158" spans="1:38" s="109" customFormat="1" ht="18.75" customHeight="1" x14ac:dyDescent="0.15">
      <c r="A158" s="97"/>
      <c r="B158" s="98"/>
      <c r="C158" s="210"/>
      <c r="D158" s="211"/>
      <c r="E158" s="101"/>
      <c r="F158" s="102"/>
      <c r="G158" s="101"/>
      <c r="H158" s="200" t="s">
        <v>88</v>
      </c>
      <c r="I158" s="130" t="s">
        <v>196</v>
      </c>
      <c r="J158" s="105" t="s">
        <v>153</v>
      </c>
      <c r="K158" s="154"/>
      <c r="L158" s="174" t="s">
        <v>196</v>
      </c>
      <c r="M158" s="105" t="s">
        <v>161</v>
      </c>
      <c r="N158" s="137"/>
      <c r="O158" s="137"/>
      <c r="P158" s="137"/>
      <c r="Q158" s="137"/>
      <c r="R158" s="137"/>
      <c r="S158" s="137"/>
      <c r="T158" s="137"/>
      <c r="U158" s="137"/>
      <c r="V158" s="137"/>
      <c r="W158" s="137"/>
      <c r="X158" s="145"/>
      <c r="Y158" s="134"/>
      <c r="Z158" s="95"/>
      <c r="AA158" s="95"/>
      <c r="AB158" s="96"/>
      <c r="AC158" s="347"/>
      <c r="AD158" s="347"/>
      <c r="AE158" s="347"/>
      <c r="AF158" s="347"/>
      <c r="AI158" s="109" t="str">
        <f>"52:terminal_code:" &amp; IF(I158="■",1,IF(L158="■",2,0))</f>
        <v>52:terminal_code:0</v>
      </c>
    </row>
    <row r="159" spans="1:38" s="109" customFormat="1" ht="18.75" customHeight="1" x14ac:dyDescent="0.15">
      <c r="A159" s="97"/>
      <c r="B159" s="98"/>
      <c r="C159" s="210"/>
      <c r="D159" s="211"/>
      <c r="E159" s="101"/>
      <c r="F159" s="102"/>
      <c r="G159" s="101"/>
      <c r="H159" s="200" t="s">
        <v>129</v>
      </c>
      <c r="I159" s="130" t="s">
        <v>196</v>
      </c>
      <c r="J159" s="105" t="s">
        <v>153</v>
      </c>
      <c r="K159" s="154"/>
      <c r="L159" s="174" t="s">
        <v>196</v>
      </c>
      <c r="M159" s="105" t="s">
        <v>161</v>
      </c>
      <c r="N159" s="137"/>
      <c r="O159" s="137"/>
      <c r="P159" s="137"/>
      <c r="Q159" s="137"/>
      <c r="R159" s="137"/>
      <c r="S159" s="137"/>
      <c r="T159" s="137"/>
      <c r="U159" s="137"/>
      <c r="V159" s="137"/>
      <c r="W159" s="137"/>
      <c r="X159" s="145"/>
      <c r="Y159" s="134"/>
      <c r="Z159" s="95"/>
      <c r="AA159" s="95"/>
      <c r="AB159" s="96"/>
      <c r="AC159" s="347"/>
      <c r="AD159" s="347"/>
      <c r="AE159" s="347"/>
      <c r="AF159" s="347"/>
      <c r="AI159" s="109" t="str">
        <f>"52:field207:" &amp; IF(I159="■",1,IF(L159="■",2,0))</f>
        <v>52:field207:0</v>
      </c>
    </row>
    <row r="160" spans="1:38" s="109" customFormat="1" ht="18.75" customHeight="1" x14ac:dyDescent="0.15">
      <c r="A160" s="97"/>
      <c r="B160" s="98"/>
      <c r="C160" s="210"/>
      <c r="D160" s="211"/>
      <c r="E160" s="101"/>
      <c r="F160" s="102"/>
      <c r="G160" s="101"/>
      <c r="H160" s="200" t="s">
        <v>99</v>
      </c>
      <c r="I160" s="130" t="s">
        <v>196</v>
      </c>
      <c r="J160" s="105" t="s">
        <v>153</v>
      </c>
      <c r="K160" s="154"/>
      <c r="L160" s="174" t="s">
        <v>196</v>
      </c>
      <c r="M160" s="105" t="s">
        <v>161</v>
      </c>
      <c r="N160" s="137"/>
      <c r="O160" s="137"/>
      <c r="P160" s="137"/>
      <c r="Q160" s="137"/>
      <c r="R160" s="137"/>
      <c r="S160" s="137"/>
      <c r="T160" s="137"/>
      <c r="U160" s="137"/>
      <c r="V160" s="137"/>
      <c r="W160" s="137"/>
      <c r="X160" s="145"/>
      <c r="Y160" s="134"/>
      <c r="Z160" s="95"/>
      <c r="AA160" s="95"/>
      <c r="AB160" s="96"/>
      <c r="AC160" s="347"/>
      <c r="AD160" s="347"/>
      <c r="AE160" s="347"/>
      <c r="AF160" s="347"/>
      <c r="AI160" s="109" t="str">
        <f>"52:ryouyoushoku_code:" &amp; IF(I160="■",1,IF(L160="■",2,0))</f>
        <v>52:ryouyoushoku_code:0</v>
      </c>
    </row>
    <row r="161" spans="1:36" s="109" customFormat="1" ht="18.75" customHeight="1" x14ac:dyDescent="0.15">
      <c r="A161" s="97"/>
      <c r="B161" s="98"/>
      <c r="C161" s="210"/>
      <c r="D161" s="211"/>
      <c r="E161" s="101"/>
      <c r="F161" s="102"/>
      <c r="G161" s="101"/>
      <c r="H161" s="200" t="s">
        <v>102</v>
      </c>
      <c r="I161" s="135" t="s">
        <v>196</v>
      </c>
      <c r="J161" s="136" t="s">
        <v>153</v>
      </c>
      <c r="K161" s="136"/>
      <c r="L161" s="139" t="s">
        <v>196</v>
      </c>
      <c r="M161" s="136" t="s">
        <v>154</v>
      </c>
      <c r="N161" s="136"/>
      <c r="O161" s="139" t="s">
        <v>196</v>
      </c>
      <c r="P161" s="136" t="s">
        <v>155</v>
      </c>
      <c r="Q161" s="141"/>
      <c r="R161" s="137"/>
      <c r="S161" s="137"/>
      <c r="T161" s="137"/>
      <c r="U161" s="137"/>
      <c r="V161" s="137"/>
      <c r="W161" s="137"/>
      <c r="X161" s="145"/>
      <c r="Y161" s="134"/>
      <c r="Z161" s="95"/>
      <c r="AA161" s="95"/>
      <c r="AB161" s="96"/>
      <c r="AC161" s="347"/>
      <c r="AD161" s="347"/>
      <c r="AE161" s="347"/>
      <c r="AF161" s="347"/>
      <c r="AI161" s="109" t="str">
        <f>"52:ninti_senmoncare_code:" &amp; IF(I161="■",1,IF(O161="■",3,IF(L161="■",2,0)))</f>
        <v>52:ninti_senmoncare_code:0</v>
      </c>
    </row>
    <row r="162" spans="1:36" s="109" customFormat="1" ht="18.75" customHeight="1" x14ac:dyDescent="0.15">
      <c r="A162" s="97"/>
      <c r="B162" s="98"/>
      <c r="C162" s="210"/>
      <c r="D162" s="211"/>
      <c r="E162" s="101"/>
      <c r="F162" s="102"/>
      <c r="G162" s="101"/>
      <c r="H162" s="200" t="s">
        <v>225</v>
      </c>
      <c r="I162" s="135" t="s">
        <v>196</v>
      </c>
      <c r="J162" s="136" t="s">
        <v>153</v>
      </c>
      <c r="K162" s="136"/>
      <c r="L162" s="139" t="s">
        <v>196</v>
      </c>
      <c r="M162" s="136" t="s">
        <v>154</v>
      </c>
      <c r="N162" s="136"/>
      <c r="O162" s="139" t="s">
        <v>196</v>
      </c>
      <c r="P162" s="136" t="s">
        <v>155</v>
      </c>
      <c r="Q162" s="137"/>
      <c r="R162" s="137"/>
      <c r="S162" s="137"/>
      <c r="T162" s="137"/>
      <c r="U162" s="137"/>
      <c r="V162" s="137"/>
      <c r="W162" s="137"/>
      <c r="X162" s="145"/>
      <c r="Y162" s="134"/>
      <c r="Z162" s="95"/>
      <c r="AA162" s="95"/>
      <c r="AB162" s="96"/>
      <c r="AC162" s="347"/>
      <c r="AD162" s="347"/>
      <c r="AE162" s="347"/>
      <c r="AF162" s="347"/>
      <c r="AI162" s="109" t="str">
        <f>"52:field228:" &amp; IF(I162="■",1,IF(L162="■",2,IF(O162="■",3,0)))</f>
        <v>52:field228:0</v>
      </c>
    </row>
    <row r="163" spans="1:36" s="109" customFormat="1" ht="18.75" customHeight="1" x14ac:dyDescent="0.15">
      <c r="A163" s="97"/>
      <c r="B163" s="98"/>
      <c r="C163" s="210"/>
      <c r="D163" s="211"/>
      <c r="E163" s="101"/>
      <c r="F163" s="102"/>
      <c r="G163" s="101"/>
      <c r="H163" s="200" t="s">
        <v>227</v>
      </c>
      <c r="I163" s="135" t="s">
        <v>196</v>
      </c>
      <c r="J163" s="136" t="s">
        <v>153</v>
      </c>
      <c r="K163" s="136"/>
      <c r="L163" s="139" t="s">
        <v>196</v>
      </c>
      <c r="M163" s="105" t="s">
        <v>161</v>
      </c>
      <c r="N163" s="136"/>
      <c r="O163" s="136"/>
      <c r="P163" s="136"/>
      <c r="Q163" s="137"/>
      <c r="R163" s="137"/>
      <c r="S163" s="137"/>
      <c r="T163" s="137"/>
      <c r="U163" s="137"/>
      <c r="V163" s="137"/>
      <c r="W163" s="137"/>
      <c r="X163" s="145"/>
      <c r="Y163" s="134"/>
      <c r="Z163" s="95"/>
      <c r="AA163" s="95"/>
      <c r="AB163" s="96"/>
      <c r="AC163" s="347"/>
      <c r="AD163" s="347"/>
      <c r="AE163" s="347"/>
      <c r="AF163" s="347"/>
      <c r="AI163" s="109" t="str">
        <f>"52:field226:" &amp; IF(I163="■",1,IF(L163="■",2,0))</f>
        <v>52:field226:0</v>
      </c>
    </row>
    <row r="164" spans="1:36" s="109" customFormat="1" ht="18.75" customHeight="1" x14ac:dyDescent="0.15">
      <c r="A164" s="97"/>
      <c r="B164" s="98"/>
      <c r="C164" s="210"/>
      <c r="D164" s="211"/>
      <c r="E164" s="101"/>
      <c r="F164" s="102"/>
      <c r="G164" s="101"/>
      <c r="H164" s="200" t="s">
        <v>228</v>
      </c>
      <c r="I164" s="135" t="s">
        <v>196</v>
      </c>
      <c r="J164" s="136" t="s">
        <v>153</v>
      </c>
      <c r="K164" s="136"/>
      <c r="L164" s="139" t="s">
        <v>196</v>
      </c>
      <c r="M164" s="105" t="s">
        <v>161</v>
      </c>
      <c r="N164" s="136"/>
      <c r="O164" s="136"/>
      <c r="P164" s="136"/>
      <c r="Q164" s="137"/>
      <c r="R164" s="137"/>
      <c r="S164" s="137"/>
      <c r="T164" s="137"/>
      <c r="U164" s="137"/>
      <c r="V164" s="137"/>
      <c r="W164" s="137"/>
      <c r="X164" s="145"/>
      <c r="Y164" s="134"/>
      <c r="Z164" s="95"/>
      <c r="AA164" s="95"/>
      <c r="AB164" s="96"/>
      <c r="AC164" s="347"/>
      <c r="AD164" s="347"/>
      <c r="AE164" s="347"/>
      <c r="AF164" s="347"/>
      <c r="AI164" s="109" t="str">
        <f>"52:field227:" &amp; IF(I164="■",1,IF(L164="■",2,0))</f>
        <v>52:field227:0</v>
      </c>
    </row>
    <row r="165" spans="1:36" s="109" customFormat="1" ht="18.75" customHeight="1" x14ac:dyDescent="0.15">
      <c r="A165" s="97"/>
      <c r="B165" s="98"/>
      <c r="C165" s="210"/>
      <c r="D165" s="211"/>
      <c r="E165" s="101"/>
      <c r="F165" s="102"/>
      <c r="G165" s="101"/>
      <c r="H165" s="213" t="s">
        <v>224</v>
      </c>
      <c r="I165" s="135" t="s">
        <v>196</v>
      </c>
      <c r="J165" s="136" t="s">
        <v>153</v>
      </c>
      <c r="K165" s="136"/>
      <c r="L165" s="139" t="s">
        <v>196</v>
      </c>
      <c r="M165" s="136" t="s">
        <v>154</v>
      </c>
      <c r="N165" s="136"/>
      <c r="O165" s="139" t="s">
        <v>196</v>
      </c>
      <c r="P165" s="136" t="s">
        <v>155</v>
      </c>
      <c r="Q165" s="141"/>
      <c r="R165" s="141"/>
      <c r="S165" s="141"/>
      <c r="T165" s="141"/>
      <c r="U165" s="214"/>
      <c r="V165" s="214"/>
      <c r="W165" s="214"/>
      <c r="X165" s="215"/>
      <c r="Y165" s="134"/>
      <c r="Z165" s="95"/>
      <c r="AA165" s="95"/>
      <c r="AB165" s="96"/>
      <c r="AC165" s="347"/>
      <c r="AD165" s="347"/>
      <c r="AE165" s="347"/>
      <c r="AF165" s="347"/>
      <c r="AI165" s="109" t="str">
        <f>"52:field225:" &amp; IF(I165="■",1,IF(L165="■",2,IF(O165="■",3,0)))</f>
        <v>52:field225:0</v>
      </c>
    </row>
    <row r="166" spans="1:36" s="109" customFormat="1" ht="18.75" customHeight="1" x14ac:dyDescent="0.15">
      <c r="A166" s="97"/>
      <c r="B166" s="98"/>
      <c r="C166" s="210"/>
      <c r="D166" s="211"/>
      <c r="E166" s="101"/>
      <c r="F166" s="102"/>
      <c r="G166" s="101"/>
      <c r="H166" s="200" t="s">
        <v>103</v>
      </c>
      <c r="I166" s="135" t="s">
        <v>196</v>
      </c>
      <c r="J166" s="136" t="s">
        <v>153</v>
      </c>
      <c r="K166" s="136"/>
      <c r="L166" s="139" t="s">
        <v>196</v>
      </c>
      <c r="M166" s="136" t="s">
        <v>157</v>
      </c>
      <c r="N166" s="136"/>
      <c r="O166" s="139" t="s">
        <v>196</v>
      </c>
      <c r="P166" s="136" t="s">
        <v>158</v>
      </c>
      <c r="Q166" s="177"/>
      <c r="R166" s="139" t="s">
        <v>196</v>
      </c>
      <c r="S166" s="136" t="s">
        <v>167</v>
      </c>
      <c r="T166" s="136"/>
      <c r="U166" s="136"/>
      <c r="V166" s="136"/>
      <c r="W166" s="136"/>
      <c r="X166" s="144"/>
      <c r="Y166" s="134"/>
      <c r="Z166" s="95"/>
      <c r="AA166" s="95"/>
      <c r="AB166" s="96"/>
      <c r="AC166" s="347"/>
      <c r="AD166" s="347"/>
      <c r="AE166" s="347"/>
      <c r="AF166" s="347"/>
      <c r="AI166" s="109" t="str">
        <f>"52:serteikyo_kyoka_code:" &amp; IF(I166="■",1,IF(L166="■",6,IF(O166="■",5,IF(R166="■",7,0))))</f>
        <v>52:serteikyo_kyoka_code:0</v>
      </c>
    </row>
    <row r="167" spans="1:36" s="109" customFormat="1" ht="18.75" customHeight="1" x14ac:dyDescent="0.15">
      <c r="A167" s="97"/>
      <c r="B167" s="98"/>
      <c r="C167" s="99"/>
      <c r="D167" s="100"/>
      <c r="E167" s="101"/>
      <c r="F167" s="102"/>
      <c r="G167" s="103"/>
      <c r="H167" s="182" t="s">
        <v>234</v>
      </c>
      <c r="I167" s="175" t="s">
        <v>196</v>
      </c>
      <c r="J167" s="147" t="s">
        <v>153</v>
      </c>
      <c r="K167" s="147"/>
      <c r="L167" s="176" t="s">
        <v>196</v>
      </c>
      <c r="M167" s="147" t="s">
        <v>218</v>
      </c>
      <c r="N167" s="219"/>
      <c r="O167" s="176" t="s">
        <v>196</v>
      </c>
      <c r="P167" s="94" t="s">
        <v>219</v>
      </c>
      <c r="Q167" s="220"/>
      <c r="R167" s="176" t="s">
        <v>196</v>
      </c>
      <c r="S167" s="147" t="s">
        <v>220</v>
      </c>
      <c r="T167" s="220"/>
      <c r="U167" s="176" t="s">
        <v>196</v>
      </c>
      <c r="V167" s="147" t="s">
        <v>221</v>
      </c>
      <c r="W167" s="214"/>
      <c r="X167" s="215"/>
      <c r="Y167" s="95"/>
      <c r="Z167" s="95"/>
      <c r="AA167" s="95"/>
      <c r="AB167" s="96"/>
      <c r="AC167" s="347"/>
      <c r="AD167" s="347"/>
      <c r="AE167" s="347"/>
      <c r="AF167" s="347"/>
      <c r="AI167" s="109" t="str">
        <f>"52:shoguukaizen_code:"&amp;IF(I167="■",1,IF(L167="■",7,IF(O167="■",8,IF(R167="■",9,IF(U167="■","A",0)))))</f>
        <v>52:shoguukaizen_code:0</v>
      </c>
    </row>
    <row r="168" spans="1:36" s="109" customFormat="1" ht="18.75" customHeight="1" x14ac:dyDescent="0.15">
      <c r="A168" s="122"/>
      <c r="B168" s="123"/>
      <c r="C168" s="221"/>
      <c r="D168" s="222"/>
      <c r="E168" s="117"/>
      <c r="F168" s="126"/>
      <c r="G168" s="117"/>
      <c r="H168" s="193" t="s">
        <v>92</v>
      </c>
      <c r="I168" s="167" t="s">
        <v>196</v>
      </c>
      <c r="J168" s="168" t="s">
        <v>179</v>
      </c>
      <c r="K168" s="169"/>
      <c r="L168" s="170"/>
      <c r="M168" s="171" t="s">
        <v>196</v>
      </c>
      <c r="N168" s="168" t="s">
        <v>180</v>
      </c>
      <c r="O168" s="172"/>
      <c r="P168" s="172"/>
      <c r="Q168" s="172"/>
      <c r="R168" s="172"/>
      <c r="S168" s="172"/>
      <c r="T168" s="172"/>
      <c r="U168" s="172"/>
      <c r="V168" s="172"/>
      <c r="W168" s="172"/>
      <c r="X168" s="173"/>
      <c r="Y168" s="129" t="s">
        <v>196</v>
      </c>
      <c r="Z168" s="115" t="s">
        <v>152</v>
      </c>
      <c r="AA168" s="115"/>
      <c r="AB168" s="128"/>
      <c r="AC168" s="346"/>
      <c r="AD168" s="346"/>
      <c r="AE168" s="346"/>
      <c r="AF168" s="346"/>
      <c r="AG168" s="109" t="str">
        <f>"ser_code = '" &amp; IF(A179="■",52,"") &amp; "'"</f>
        <v>ser_code = ''</v>
      </c>
      <c r="AI168" s="109" t="str">
        <f>"52:yakan_kinmu_code:" &amp; IF(I168="■",1,IF(M168="■",6,0))</f>
        <v>52:yakan_kinmu_code:0</v>
      </c>
      <c r="AJ168" s="109" t="str">
        <f>"52:field203:" &amp; IF(Y168="■",1,IF(Y169="■",2,0))</f>
        <v>52:field203:0</v>
      </c>
    </row>
    <row r="169" spans="1:36" s="109" customFormat="1" ht="18.75" customHeight="1" x14ac:dyDescent="0.15">
      <c r="A169" s="97"/>
      <c r="B169" s="98"/>
      <c r="C169" s="210"/>
      <c r="D169" s="211"/>
      <c r="E169" s="101"/>
      <c r="F169" s="102"/>
      <c r="G169" s="101"/>
      <c r="H169" s="349" t="s">
        <v>89</v>
      </c>
      <c r="I169" s="175" t="s">
        <v>196</v>
      </c>
      <c r="J169" s="147" t="s">
        <v>153</v>
      </c>
      <c r="K169" s="147"/>
      <c r="L169" s="179"/>
      <c r="M169" s="176" t="s">
        <v>196</v>
      </c>
      <c r="N169" s="147" t="s">
        <v>168</v>
      </c>
      <c r="O169" s="147"/>
      <c r="P169" s="179"/>
      <c r="Q169" s="176" t="s">
        <v>196</v>
      </c>
      <c r="R169" s="179" t="s">
        <v>169</v>
      </c>
      <c r="S169" s="179"/>
      <c r="T169" s="179"/>
      <c r="U169" s="176" t="s">
        <v>196</v>
      </c>
      <c r="V169" s="179" t="s">
        <v>170</v>
      </c>
      <c r="W169" s="179"/>
      <c r="X169" s="180"/>
      <c r="Y169" s="120" t="s">
        <v>196</v>
      </c>
      <c r="Z169" s="94" t="s">
        <v>156</v>
      </c>
      <c r="AA169" s="95"/>
      <c r="AB169" s="96"/>
      <c r="AC169" s="347"/>
      <c r="AD169" s="347"/>
      <c r="AE169" s="347"/>
      <c r="AF169" s="347"/>
      <c r="AG169" s="109" t="str">
        <f>"52:sisetukbn_code:" &amp; IF(D179="■","A",0)</f>
        <v>52:sisetukbn_code:0</v>
      </c>
      <c r="AI169" s="109" t="str">
        <f>"52:"&amp;IF(AND(I169="□",M169="□",Q169="□",U169="□",I170="□",M170="□",Q170="□",I171="□"),"ketu_doctor_code:0",IF(I169="■","ketu_doctor_code:1:ketu_kangos_code:1:ketu_kshoku_code:1:ketu_rryoho_code:1:ketu_sryoho_code:1:ketu_ksiensou_code:1:ketu_gengo_code:1",IF(M169="■","ketu_doctor_code:2","ketu_doctor_code:1")
&amp;IF(Q169="■",":ketu_kangos_code:2",":ketu_kangos_code:1")
&amp;IF(U169="■",":ketu_kshoku_code:2",":ketu_kshoku_code:1")
&amp;IF(I170="■",":ketu_rryoho_code:2",":ketu_rryoho_code:1")
&amp;IF(M170="■",":ketu_sryoho_code:2",":ketu_sryoho_code:1")
&amp;IF(Q170="■",":ketu_ksiensou_code:2",":ketu_ksiensou_code:1")
&amp;IF(I171="■",":ketu_gengo_code:2",":ketu_gengo_code:1")))</f>
        <v>52:ketu_doctor_code:0</v>
      </c>
    </row>
    <row r="170" spans="1:36" s="109" customFormat="1" ht="18.75" customHeight="1" x14ac:dyDescent="0.15">
      <c r="A170" s="97"/>
      <c r="B170" s="98"/>
      <c r="C170" s="210"/>
      <c r="D170" s="211"/>
      <c r="E170" s="101"/>
      <c r="F170" s="102"/>
      <c r="G170" s="101"/>
      <c r="H170" s="343"/>
      <c r="I170" s="120" t="s">
        <v>196</v>
      </c>
      <c r="J170" s="94" t="s">
        <v>171</v>
      </c>
      <c r="K170" s="94"/>
      <c r="L170" s="93"/>
      <c r="M170" s="114" t="s">
        <v>196</v>
      </c>
      <c r="N170" s="94" t="s">
        <v>172</v>
      </c>
      <c r="O170" s="94"/>
      <c r="P170" s="93"/>
      <c r="Q170" s="114" t="s">
        <v>196</v>
      </c>
      <c r="R170" s="93" t="s">
        <v>199</v>
      </c>
      <c r="S170" s="93"/>
      <c r="T170" s="93"/>
      <c r="U170" s="93"/>
      <c r="V170" s="93"/>
      <c r="W170" s="93"/>
      <c r="X170" s="153"/>
      <c r="Y170" s="134"/>
      <c r="Z170" s="95"/>
      <c r="AA170" s="95"/>
      <c r="AB170" s="96"/>
      <c r="AC170" s="347"/>
      <c r="AD170" s="347"/>
      <c r="AE170" s="347"/>
      <c r="AF170" s="347"/>
    </row>
    <row r="171" spans="1:36" s="109" customFormat="1" ht="18.75" customHeight="1" x14ac:dyDescent="0.15">
      <c r="A171" s="97"/>
      <c r="B171" s="98"/>
      <c r="C171" s="210"/>
      <c r="D171" s="211"/>
      <c r="E171" s="101"/>
      <c r="F171" s="102"/>
      <c r="G171" s="101"/>
      <c r="H171" s="350"/>
      <c r="I171" s="130" t="s">
        <v>196</v>
      </c>
      <c r="J171" s="105" t="s">
        <v>200</v>
      </c>
      <c r="K171" s="105"/>
      <c r="L171" s="131"/>
      <c r="M171" s="174"/>
      <c r="N171" s="105"/>
      <c r="O171" s="105"/>
      <c r="P171" s="131"/>
      <c r="Q171" s="131"/>
      <c r="R171" s="131"/>
      <c r="S171" s="131"/>
      <c r="T171" s="131"/>
      <c r="U171" s="131"/>
      <c r="V171" s="131"/>
      <c r="W171" s="131"/>
      <c r="X171" s="198"/>
      <c r="Y171" s="134"/>
      <c r="Z171" s="95"/>
      <c r="AA171" s="95"/>
      <c r="AB171" s="96"/>
      <c r="AC171" s="347"/>
      <c r="AD171" s="347"/>
      <c r="AE171" s="347"/>
      <c r="AF171" s="347"/>
    </row>
    <row r="172" spans="1:36" s="109" customFormat="1" ht="18.75" customHeight="1" x14ac:dyDescent="0.15">
      <c r="A172" s="97"/>
      <c r="B172" s="98"/>
      <c r="C172" s="210"/>
      <c r="D172" s="211"/>
      <c r="E172" s="101"/>
      <c r="F172" s="102"/>
      <c r="G172" s="101"/>
      <c r="H172" s="200" t="s">
        <v>93</v>
      </c>
      <c r="I172" s="135" t="s">
        <v>196</v>
      </c>
      <c r="J172" s="136" t="s">
        <v>159</v>
      </c>
      <c r="K172" s="137"/>
      <c r="L172" s="138"/>
      <c r="M172" s="139" t="s">
        <v>196</v>
      </c>
      <c r="N172" s="136" t="s">
        <v>160</v>
      </c>
      <c r="O172" s="137"/>
      <c r="P172" s="137"/>
      <c r="Q172" s="137"/>
      <c r="R172" s="137"/>
      <c r="S172" s="137"/>
      <c r="T172" s="137"/>
      <c r="U172" s="137"/>
      <c r="V172" s="137"/>
      <c r="W172" s="137"/>
      <c r="X172" s="145"/>
      <c r="Y172" s="134"/>
      <c r="Z172" s="95"/>
      <c r="AA172" s="95"/>
      <c r="AB172" s="96"/>
      <c r="AC172" s="347"/>
      <c r="AD172" s="347"/>
      <c r="AE172" s="347"/>
      <c r="AF172" s="347"/>
      <c r="AI172" s="109" t="str">
        <f>"52:unitcare_code:" &amp; IF(I172="■",1,IF(M172="■",2,0))</f>
        <v>52:unitcare_code:0</v>
      </c>
    </row>
    <row r="173" spans="1:36" s="109" customFormat="1" ht="18.75" customHeight="1" x14ac:dyDescent="0.15">
      <c r="A173" s="97"/>
      <c r="B173" s="98"/>
      <c r="C173" s="210"/>
      <c r="D173" s="211"/>
      <c r="E173" s="101"/>
      <c r="F173" s="102"/>
      <c r="G173" s="101"/>
      <c r="H173" s="200" t="s">
        <v>96</v>
      </c>
      <c r="I173" s="135" t="s">
        <v>196</v>
      </c>
      <c r="J173" s="136" t="s">
        <v>197</v>
      </c>
      <c r="K173" s="137"/>
      <c r="L173" s="138"/>
      <c r="M173" s="139" t="s">
        <v>196</v>
      </c>
      <c r="N173" s="136" t="s">
        <v>198</v>
      </c>
      <c r="O173" s="137"/>
      <c r="P173" s="137"/>
      <c r="Q173" s="137"/>
      <c r="R173" s="137"/>
      <c r="S173" s="137"/>
      <c r="T173" s="137"/>
      <c r="U173" s="137"/>
      <c r="V173" s="137"/>
      <c r="W173" s="137"/>
      <c r="X173" s="145"/>
      <c r="Y173" s="134"/>
      <c r="Z173" s="95"/>
      <c r="AA173" s="95"/>
      <c r="AB173" s="96"/>
      <c r="AC173" s="347"/>
      <c r="AD173" s="347"/>
      <c r="AE173" s="347"/>
      <c r="AF173" s="347"/>
      <c r="AI173" s="109" t="str">
        <f>"52:sintaikousoku_code:" &amp; IF(I173="■",1,IF(M173="■",2,0))</f>
        <v>52:sintaikousoku_code:0</v>
      </c>
    </row>
    <row r="174" spans="1:36" s="109" customFormat="1" ht="18.75" customHeight="1" x14ac:dyDescent="0.15">
      <c r="A174" s="97"/>
      <c r="B174" s="98"/>
      <c r="C174" s="210"/>
      <c r="D174" s="211"/>
      <c r="E174" s="101"/>
      <c r="F174" s="102"/>
      <c r="G174" s="101"/>
      <c r="H174" s="200" t="s">
        <v>130</v>
      </c>
      <c r="I174" s="135" t="s">
        <v>196</v>
      </c>
      <c r="J174" s="136" t="s">
        <v>197</v>
      </c>
      <c r="K174" s="137"/>
      <c r="L174" s="138"/>
      <c r="M174" s="139" t="s">
        <v>196</v>
      </c>
      <c r="N174" s="136" t="s">
        <v>198</v>
      </c>
      <c r="O174" s="137"/>
      <c r="P174" s="137"/>
      <c r="Q174" s="137"/>
      <c r="R174" s="137"/>
      <c r="S174" s="137"/>
      <c r="T174" s="137"/>
      <c r="U174" s="137"/>
      <c r="V174" s="137"/>
      <c r="W174" s="137"/>
      <c r="X174" s="145"/>
      <c r="Y174" s="134"/>
      <c r="Z174" s="95"/>
      <c r="AA174" s="95"/>
      <c r="AB174" s="96"/>
      <c r="AC174" s="347"/>
      <c r="AD174" s="347"/>
      <c r="AE174" s="347"/>
      <c r="AF174" s="347"/>
      <c r="AI174" s="109" t="str">
        <f>"52:field208:" &amp; IF(I174="■",1,IF(M174="■",2,0))</f>
        <v>52:field208:0</v>
      </c>
    </row>
    <row r="175" spans="1:36" s="109" customFormat="1" ht="19.5" customHeight="1" x14ac:dyDescent="0.15">
      <c r="A175" s="97"/>
      <c r="B175" s="98"/>
      <c r="C175" s="99"/>
      <c r="D175" s="100"/>
      <c r="E175" s="101"/>
      <c r="F175" s="102"/>
      <c r="G175" s="103"/>
      <c r="H175" s="104" t="s">
        <v>215</v>
      </c>
      <c r="I175" s="135" t="s">
        <v>196</v>
      </c>
      <c r="J175" s="136" t="s">
        <v>197</v>
      </c>
      <c r="K175" s="137"/>
      <c r="L175" s="138"/>
      <c r="M175" s="139" t="s">
        <v>196</v>
      </c>
      <c r="N175" s="136" t="s">
        <v>216</v>
      </c>
      <c r="O175" s="140"/>
      <c r="P175" s="136"/>
      <c r="Q175" s="141"/>
      <c r="R175" s="141"/>
      <c r="S175" s="141"/>
      <c r="T175" s="141"/>
      <c r="U175" s="141"/>
      <c r="V175" s="141"/>
      <c r="W175" s="141"/>
      <c r="X175" s="142"/>
      <c r="Y175" s="95"/>
      <c r="Z175" s="95"/>
      <c r="AA175" s="95"/>
      <c r="AB175" s="96"/>
      <c r="AC175" s="347"/>
      <c r="AD175" s="347"/>
      <c r="AE175" s="347"/>
      <c r="AF175" s="347"/>
      <c r="AI175" s="109" t="str">
        <f>"52:field223:" &amp; IF(I175="■",1,IF(M175="■",2,0))</f>
        <v>52:field223:0</v>
      </c>
    </row>
    <row r="176" spans="1:36" s="109" customFormat="1" ht="19.5" customHeight="1" x14ac:dyDescent="0.15">
      <c r="A176" s="97"/>
      <c r="B176" s="98"/>
      <c r="C176" s="99"/>
      <c r="D176" s="100"/>
      <c r="E176" s="101"/>
      <c r="F176" s="102"/>
      <c r="G176" s="103"/>
      <c r="H176" s="104" t="s">
        <v>226</v>
      </c>
      <c r="I176" s="135" t="s">
        <v>196</v>
      </c>
      <c r="J176" s="136" t="s">
        <v>197</v>
      </c>
      <c r="K176" s="137"/>
      <c r="L176" s="138"/>
      <c r="M176" s="139" t="s">
        <v>196</v>
      </c>
      <c r="N176" s="136" t="s">
        <v>216</v>
      </c>
      <c r="O176" s="140"/>
      <c r="P176" s="136"/>
      <c r="Q176" s="141"/>
      <c r="R176" s="141"/>
      <c r="S176" s="141"/>
      <c r="T176" s="141"/>
      <c r="U176" s="141"/>
      <c r="V176" s="141"/>
      <c r="W176" s="141"/>
      <c r="X176" s="142"/>
      <c r="Y176" s="95"/>
      <c r="Z176" s="95"/>
      <c r="AA176" s="95"/>
      <c r="AB176" s="96"/>
      <c r="AC176" s="347"/>
      <c r="AD176" s="347"/>
      <c r="AE176" s="347"/>
      <c r="AF176" s="347"/>
      <c r="AI176" s="109" t="str">
        <f>"52:field232:" &amp; IF(I176="■",1,IF(M176="■",2,0))</f>
        <v>52:field232:0</v>
      </c>
    </row>
    <row r="177" spans="1:35" s="109" customFormat="1" ht="18.75" customHeight="1" x14ac:dyDescent="0.15">
      <c r="A177" s="97"/>
      <c r="B177" s="98"/>
      <c r="C177" s="210"/>
      <c r="D177" s="211"/>
      <c r="E177" s="101"/>
      <c r="F177" s="102"/>
      <c r="G177" s="101"/>
      <c r="H177" s="351" t="s">
        <v>131</v>
      </c>
      <c r="I177" s="353" t="s">
        <v>196</v>
      </c>
      <c r="J177" s="344" t="s">
        <v>153</v>
      </c>
      <c r="K177" s="344"/>
      <c r="L177" s="355" t="s">
        <v>196</v>
      </c>
      <c r="M177" s="344" t="s">
        <v>161</v>
      </c>
      <c r="N177" s="344"/>
      <c r="O177" s="147"/>
      <c r="P177" s="147"/>
      <c r="Q177" s="147"/>
      <c r="R177" s="147"/>
      <c r="S177" s="147"/>
      <c r="T177" s="147"/>
      <c r="U177" s="147"/>
      <c r="V177" s="147"/>
      <c r="W177" s="147"/>
      <c r="X177" s="151"/>
      <c r="Y177" s="134"/>
      <c r="Z177" s="95"/>
      <c r="AA177" s="95"/>
      <c r="AB177" s="96"/>
      <c r="AC177" s="347"/>
      <c r="AD177" s="347"/>
      <c r="AE177" s="347"/>
      <c r="AF177" s="347"/>
      <c r="AI177" s="109" t="str">
        <f>"52:field206:" &amp; IF(I177="■",1,IF(L177="■",2,0))</f>
        <v>52:field206:0</v>
      </c>
    </row>
    <row r="178" spans="1:35" s="109" customFormat="1" ht="18.75" customHeight="1" x14ac:dyDescent="0.15">
      <c r="A178" s="97"/>
      <c r="B178" s="98"/>
      <c r="C178" s="210"/>
      <c r="D178" s="211"/>
      <c r="E178" s="101"/>
      <c r="F178" s="102"/>
      <c r="G178" s="101"/>
      <c r="H178" s="352"/>
      <c r="I178" s="354"/>
      <c r="J178" s="345"/>
      <c r="K178" s="345"/>
      <c r="L178" s="356"/>
      <c r="M178" s="345"/>
      <c r="N178" s="345"/>
      <c r="O178" s="105"/>
      <c r="P178" s="105"/>
      <c r="Q178" s="105"/>
      <c r="R178" s="105"/>
      <c r="S178" s="105"/>
      <c r="T178" s="105"/>
      <c r="U178" s="105"/>
      <c r="V178" s="105"/>
      <c r="W178" s="105"/>
      <c r="X178" s="149"/>
      <c r="Y178" s="134"/>
      <c r="Z178" s="95"/>
      <c r="AA178" s="95"/>
      <c r="AB178" s="96"/>
      <c r="AC178" s="347"/>
      <c r="AD178" s="347"/>
      <c r="AE178" s="347"/>
      <c r="AF178" s="347"/>
    </row>
    <row r="179" spans="1:35" s="109" customFormat="1" ht="18.75" customHeight="1" x14ac:dyDescent="0.15">
      <c r="A179" s="120" t="s">
        <v>196</v>
      </c>
      <c r="B179" s="98">
        <v>52</v>
      </c>
      <c r="C179" s="210" t="s">
        <v>211</v>
      </c>
      <c r="D179" s="120" t="s">
        <v>196</v>
      </c>
      <c r="E179" s="101" t="s">
        <v>213</v>
      </c>
      <c r="F179" s="102"/>
      <c r="G179" s="101"/>
      <c r="H179" s="200" t="s">
        <v>98</v>
      </c>
      <c r="I179" s="130" t="s">
        <v>196</v>
      </c>
      <c r="J179" s="105" t="s">
        <v>153</v>
      </c>
      <c r="K179" s="154"/>
      <c r="L179" s="174" t="s">
        <v>196</v>
      </c>
      <c r="M179" s="105" t="s">
        <v>161</v>
      </c>
      <c r="N179" s="137"/>
      <c r="O179" s="137"/>
      <c r="P179" s="137"/>
      <c r="Q179" s="137"/>
      <c r="R179" s="137"/>
      <c r="S179" s="137"/>
      <c r="T179" s="137"/>
      <c r="U179" s="137"/>
      <c r="V179" s="137"/>
      <c r="W179" s="137"/>
      <c r="X179" s="145"/>
      <c r="Y179" s="134"/>
      <c r="Z179" s="95"/>
      <c r="AA179" s="95"/>
      <c r="AB179" s="96"/>
      <c r="AC179" s="347"/>
      <c r="AD179" s="347"/>
      <c r="AE179" s="347"/>
      <c r="AF179" s="347"/>
      <c r="AI179" s="109" t="str">
        <f>"52:yakinhaiti_code:" &amp; IF(I179="■",1,IF(L179="■",2,0))</f>
        <v>52:yakinhaiti_code:0</v>
      </c>
    </row>
    <row r="180" spans="1:35" s="109" customFormat="1" ht="18.75" customHeight="1" x14ac:dyDescent="0.15">
      <c r="A180" s="97"/>
      <c r="B180" s="98"/>
      <c r="C180" s="210"/>
      <c r="D180" s="211"/>
      <c r="E180" s="101"/>
      <c r="F180" s="102"/>
      <c r="G180" s="101"/>
      <c r="H180" s="200" t="s">
        <v>94</v>
      </c>
      <c r="I180" s="130" t="s">
        <v>196</v>
      </c>
      <c r="J180" s="105" t="s">
        <v>153</v>
      </c>
      <c r="K180" s="154"/>
      <c r="L180" s="174" t="s">
        <v>196</v>
      </c>
      <c r="M180" s="105" t="s">
        <v>161</v>
      </c>
      <c r="N180" s="137"/>
      <c r="O180" s="137"/>
      <c r="P180" s="137"/>
      <c r="Q180" s="137"/>
      <c r="R180" s="137"/>
      <c r="S180" s="137"/>
      <c r="T180" s="137"/>
      <c r="U180" s="137"/>
      <c r="V180" s="137"/>
      <c r="W180" s="137"/>
      <c r="X180" s="145"/>
      <c r="Y180" s="134"/>
      <c r="Z180" s="95"/>
      <c r="AA180" s="95"/>
      <c r="AB180" s="96"/>
      <c r="AC180" s="347"/>
      <c r="AD180" s="347"/>
      <c r="AE180" s="347"/>
      <c r="AF180" s="347"/>
      <c r="AI180" s="109" t="str">
        <f>"52:ninticare_code:" &amp; IF(I180="■",1,IF(L180="■",2,0))</f>
        <v>52:ninticare_code:0</v>
      </c>
    </row>
    <row r="181" spans="1:35" s="109" customFormat="1" ht="18.75" customHeight="1" x14ac:dyDescent="0.15">
      <c r="A181" s="97"/>
      <c r="B181" s="98"/>
      <c r="C181" s="210"/>
      <c r="D181" s="211"/>
      <c r="E181" s="101"/>
      <c r="F181" s="102"/>
      <c r="G181" s="101"/>
      <c r="H181" s="205" t="s">
        <v>114</v>
      </c>
      <c r="I181" s="130" t="s">
        <v>196</v>
      </c>
      <c r="J181" s="105" t="s">
        <v>153</v>
      </c>
      <c r="K181" s="154"/>
      <c r="L181" s="174" t="s">
        <v>196</v>
      </c>
      <c r="M181" s="105" t="s">
        <v>161</v>
      </c>
      <c r="N181" s="137"/>
      <c r="O181" s="137"/>
      <c r="P181" s="137"/>
      <c r="Q181" s="137"/>
      <c r="R181" s="137"/>
      <c r="S181" s="137"/>
      <c r="T181" s="137"/>
      <c r="U181" s="137"/>
      <c r="V181" s="137"/>
      <c r="W181" s="137"/>
      <c r="X181" s="145"/>
      <c r="Y181" s="134"/>
      <c r="Z181" s="95"/>
      <c r="AA181" s="95"/>
      <c r="AB181" s="96"/>
      <c r="AC181" s="347"/>
      <c r="AD181" s="347"/>
      <c r="AE181" s="347"/>
      <c r="AF181" s="347"/>
      <c r="AI181" s="109" t="str">
        <f>"52:jyakuninti_uke_code:" &amp; IF(I181="■",1,IF(L181="■",2,0))</f>
        <v>52:jyakuninti_uke_code:0</v>
      </c>
    </row>
    <row r="182" spans="1:35" s="109" customFormat="1" ht="18.75" customHeight="1" x14ac:dyDescent="0.15">
      <c r="A182" s="97"/>
      <c r="B182" s="98"/>
      <c r="C182" s="210"/>
      <c r="D182" s="211"/>
      <c r="E182" s="101"/>
      <c r="F182" s="102"/>
      <c r="G182" s="101"/>
      <c r="H182" s="200" t="s">
        <v>88</v>
      </c>
      <c r="I182" s="130" t="s">
        <v>196</v>
      </c>
      <c r="J182" s="105" t="s">
        <v>153</v>
      </c>
      <c r="K182" s="154"/>
      <c r="L182" s="174" t="s">
        <v>196</v>
      </c>
      <c r="M182" s="105" t="s">
        <v>161</v>
      </c>
      <c r="N182" s="137"/>
      <c r="O182" s="137"/>
      <c r="P182" s="137"/>
      <c r="Q182" s="137"/>
      <c r="R182" s="137"/>
      <c r="S182" s="137"/>
      <c r="T182" s="137"/>
      <c r="U182" s="137"/>
      <c r="V182" s="137"/>
      <c r="W182" s="137"/>
      <c r="X182" s="145"/>
      <c r="Y182" s="134"/>
      <c r="Z182" s="95"/>
      <c r="AA182" s="95"/>
      <c r="AB182" s="96"/>
      <c r="AC182" s="347"/>
      <c r="AD182" s="347"/>
      <c r="AE182" s="347"/>
      <c r="AF182" s="347"/>
      <c r="AI182" s="109" t="str">
        <f>"52:terminal_code:" &amp; IF(I182="■",1,IF(L182="■",2,0))</f>
        <v>52:terminal_code:0</v>
      </c>
    </row>
    <row r="183" spans="1:35" s="109" customFormat="1" ht="18.75" customHeight="1" x14ac:dyDescent="0.15">
      <c r="A183" s="97"/>
      <c r="B183" s="98"/>
      <c r="C183" s="210"/>
      <c r="D183" s="211"/>
      <c r="E183" s="101"/>
      <c r="F183" s="102"/>
      <c r="G183" s="101"/>
      <c r="H183" s="200" t="s">
        <v>129</v>
      </c>
      <c r="I183" s="130" t="s">
        <v>196</v>
      </c>
      <c r="J183" s="105" t="s">
        <v>153</v>
      </c>
      <c r="K183" s="154"/>
      <c r="L183" s="174" t="s">
        <v>196</v>
      </c>
      <c r="M183" s="105" t="s">
        <v>161</v>
      </c>
      <c r="N183" s="137"/>
      <c r="O183" s="137"/>
      <c r="P183" s="137"/>
      <c r="Q183" s="137"/>
      <c r="R183" s="137"/>
      <c r="S183" s="137"/>
      <c r="T183" s="137"/>
      <c r="U183" s="137"/>
      <c r="V183" s="137"/>
      <c r="W183" s="137"/>
      <c r="X183" s="145"/>
      <c r="Y183" s="134"/>
      <c r="Z183" s="95"/>
      <c r="AA183" s="95"/>
      <c r="AB183" s="96"/>
      <c r="AC183" s="347"/>
      <c r="AD183" s="347"/>
      <c r="AE183" s="347"/>
      <c r="AF183" s="347"/>
      <c r="AI183" s="109" t="str">
        <f>"52:field207:" &amp; IF(I183="■",1,IF(L183="■",2,0))</f>
        <v>52:field207:0</v>
      </c>
    </row>
    <row r="184" spans="1:35" s="109" customFormat="1" ht="18.75" customHeight="1" x14ac:dyDescent="0.15">
      <c r="A184" s="97"/>
      <c r="B184" s="98"/>
      <c r="C184" s="210"/>
      <c r="D184" s="211"/>
      <c r="E184" s="101"/>
      <c r="F184" s="102"/>
      <c r="G184" s="101"/>
      <c r="H184" s="200" t="s">
        <v>99</v>
      </c>
      <c r="I184" s="130" t="s">
        <v>196</v>
      </c>
      <c r="J184" s="105" t="s">
        <v>153</v>
      </c>
      <c r="K184" s="154"/>
      <c r="L184" s="174" t="s">
        <v>196</v>
      </c>
      <c r="M184" s="105" t="s">
        <v>161</v>
      </c>
      <c r="N184" s="137"/>
      <c r="O184" s="137"/>
      <c r="P184" s="137"/>
      <c r="Q184" s="137"/>
      <c r="R184" s="137"/>
      <c r="S184" s="137"/>
      <c r="T184" s="137"/>
      <c r="U184" s="137"/>
      <c r="V184" s="137"/>
      <c r="W184" s="137"/>
      <c r="X184" s="145"/>
      <c r="Y184" s="134"/>
      <c r="Z184" s="95"/>
      <c r="AA184" s="95"/>
      <c r="AB184" s="96"/>
      <c r="AC184" s="347"/>
      <c r="AD184" s="347"/>
      <c r="AE184" s="347"/>
      <c r="AF184" s="347"/>
      <c r="AI184" s="109" t="str">
        <f>"52:ryouyoushoku_code:" &amp; IF(I184="■",1,IF(L184="■",2,0))</f>
        <v>52:ryouyoushoku_code:0</v>
      </c>
    </row>
    <row r="185" spans="1:35" s="109" customFormat="1" ht="18.75" customHeight="1" x14ac:dyDescent="0.15">
      <c r="A185" s="97"/>
      <c r="B185" s="98"/>
      <c r="C185" s="210"/>
      <c r="D185" s="211"/>
      <c r="E185" s="101"/>
      <c r="F185" s="102"/>
      <c r="G185" s="101"/>
      <c r="H185" s="200" t="s">
        <v>102</v>
      </c>
      <c r="I185" s="135" t="s">
        <v>196</v>
      </c>
      <c r="J185" s="136" t="s">
        <v>153</v>
      </c>
      <c r="K185" s="136"/>
      <c r="L185" s="139" t="s">
        <v>196</v>
      </c>
      <c r="M185" s="136" t="s">
        <v>154</v>
      </c>
      <c r="N185" s="136"/>
      <c r="O185" s="139" t="s">
        <v>196</v>
      </c>
      <c r="P185" s="136" t="s">
        <v>155</v>
      </c>
      <c r="Q185" s="141"/>
      <c r="R185" s="137"/>
      <c r="S185" s="137"/>
      <c r="T185" s="137"/>
      <c r="U185" s="137"/>
      <c r="V185" s="137"/>
      <c r="W185" s="137"/>
      <c r="X185" s="145"/>
      <c r="Y185" s="134"/>
      <c r="Z185" s="95"/>
      <c r="AA185" s="95"/>
      <c r="AB185" s="96"/>
      <c r="AC185" s="347"/>
      <c r="AD185" s="347"/>
      <c r="AE185" s="347"/>
      <c r="AF185" s="347"/>
      <c r="AI185" s="109" t="str">
        <f>"52:ninti_senmoncare_code:" &amp; IF(I185="■",1,IF(O185="■",3,IF(L185="■",2,0)))</f>
        <v>52:ninti_senmoncare_code:0</v>
      </c>
    </row>
    <row r="186" spans="1:35" s="109" customFormat="1" ht="18.75" customHeight="1" x14ac:dyDescent="0.15">
      <c r="A186" s="97"/>
      <c r="B186" s="98"/>
      <c r="C186" s="210"/>
      <c r="D186" s="211"/>
      <c r="E186" s="101"/>
      <c r="F186" s="102"/>
      <c r="G186" s="101"/>
      <c r="H186" s="200" t="s">
        <v>225</v>
      </c>
      <c r="I186" s="135" t="s">
        <v>196</v>
      </c>
      <c r="J186" s="136" t="s">
        <v>153</v>
      </c>
      <c r="K186" s="136"/>
      <c r="L186" s="139" t="s">
        <v>196</v>
      </c>
      <c r="M186" s="136" t="s">
        <v>154</v>
      </c>
      <c r="N186" s="136"/>
      <c r="O186" s="139" t="s">
        <v>196</v>
      </c>
      <c r="P186" s="136" t="s">
        <v>155</v>
      </c>
      <c r="Q186" s="137"/>
      <c r="R186" s="137"/>
      <c r="S186" s="137"/>
      <c r="T186" s="137"/>
      <c r="U186" s="137"/>
      <c r="V186" s="137"/>
      <c r="W186" s="137"/>
      <c r="X186" s="145"/>
      <c r="Y186" s="134"/>
      <c r="Z186" s="95"/>
      <c r="AA186" s="95"/>
      <c r="AB186" s="96"/>
      <c r="AC186" s="347"/>
      <c r="AD186" s="347"/>
      <c r="AE186" s="347"/>
      <c r="AF186" s="347"/>
      <c r="AI186" s="109" t="str">
        <f>"52:field228:" &amp; IF(I186="■",1,IF(L186="■",2,IF(O186="■",3,0)))</f>
        <v>52:field228:0</v>
      </c>
    </row>
    <row r="187" spans="1:35" s="109" customFormat="1" ht="18.75" customHeight="1" x14ac:dyDescent="0.15">
      <c r="A187" s="97"/>
      <c r="B187" s="98"/>
      <c r="C187" s="210"/>
      <c r="D187" s="211"/>
      <c r="E187" s="101"/>
      <c r="F187" s="102"/>
      <c r="G187" s="101"/>
      <c r="H187" s="200" t="s">
        <v>227</v>
      </c>
      <c r="I187" s="135" t="s">
        <v>196</v>
      </c>
      <c r="J187" s="136" t="s">
        <v>153</v>
      </c>
      <c r="K187" s="136"/>
      <c r="L187" s="139" t="s">
        <v>196</v>
      </c>
      <c r="M187" s="105" t="s">
        <v>161</v>
      </c>
      <c r="N187" s="136"/>
      <c r="O187" s="136"/>
      <c r="P187" s="136"/>
      <c r="Q187" s="137"/>
      <c r="R187" s="137"/>
      <c r="S187" s="137"/>
      <c r="T187" s="137"/>
      <c r="U187" s="137"/>
      <c r="V187" s="137"/>
      <c r="W187" s="137"/>
      <c r="X187" s="145"/>
      <c r="Y187" s="134"/>
      <c r="Z187" s="95"/>
      <c r="AA187" s="95"/>
      <c r="AB187" s="96"/>
      <c r="AC187" s="347"/>
      <c r="AD187" s="347"/>
      <c r="AE187" s="347"/>
      <c r="AF187" s="347"/>
      <c r="AI187" s="109" t="str">
        <f>"52:field226:" &amp; IF(I187="■",1,IF(L187="■",2,0))</f>
        <v>52:field226:0</v>
      </c>
    </row>
    <row r="188" spans="1:35" s="109" customFormat="1" ht="18.75" customHeight="1" x14ac:dyDescent="0.15">
      <c r="A188" s="97"/>
      <c r="B188" s="98"/>
      <c r="C188" s="210"/>
      <c r="D188" s="211"/>
      <c r="E188" s="101"/>
      <c r="F188" s="102"/>
      <c r="G188" s="101"/>
      <c r="H188" s="200" t="s">
        <v>228</v>
      </c>
      <c r="I188" s="135" t="s">
        <v>196</v>
      </c>
      <c r="J188" s="136" t="s">
        <v>153</v>
      </c>
      <c r="K188" s="136"/>
      <c r="L188" s="139" t="s">
        <v>196</v>
      </c>
      <c r="M188" s="105" t="s">
        <v>161</v>
      </c>
      <c r="N188" s="136"/>
      <c r="O188" s="136"/>
      <c r="P188" s="136"/>
      <c r="Q188" s="137"/>
      <c r="R188" s="137"/>
      <c r="S188" s="137"/>
      <c r="T188" s="137"/>
      <c r="U188" s="137"/>
      <c r="V188" s="137"/>
      <c r="W188" s="137"/>
      <c r="X188" s="145"/>
      <c r="Y188" s="134"/>
      <c r="Z188" s="95"/>
      <c r="AA188" s="95"/>
      <c r="AB188" s="96"/>
      <c r="AC188" s="347"/>
      <c r="AD188" s="347"/>
      <c r="AE188" s="347"/>
      <c r="AF188" s="347"/>
      <c r="AI188" s="109" t="str">
        <f>"52:field227:" &amp; IF(I188="■",1,IF(L188="■",2,0))</f>
        <v>52:field227:0</v>
      </c>
    </row>
    <row r="189" spans="1:35" s="109" customFormat="1" ht="18.75" customHeight="1" x14ac:dyDescent="0.15">
      <c r="A189" s="97"/>
      <c r="B189" s="98"/>
      <c r="C189" s="210"/>
      <c r="D189" s="211"/>
      <c r="E189" s="101"/>
      <c r="F189" s="102"/>
      <c r="G189" s="101"/>
      <c r="H189" s="213" t="s">
        <v>224</v>
      </c>
      <c r="I189" s="135" t="s">
        <v>196</v>
      </c>
      <c r="J189" s="136" t="s">
        <v>153</v>
      </c>
      <c r="K189" s="136"/>
      <c r="L189" s="139" t="s">
        <v>196</v>
      </c>
      <c r="M189" s="136" t="s">
        <v>154</v>
      </c>
      <c r="N189" s="136"/>
      <c r="O189" s="139" t="s">
        <v>196</v>
      </c>
      <c r="P189" s="136" t="s">
        <v>155</v>
      </c>
      <c r="Q189" s="141"/>
      <c r="R189" s="141"/>
      <c r="S189" s="141"/>
      <c r="T189" s="141"/>
      <c r="U189" s="214"/>
      <c r="V189" s="214"/>
      <c r="W189" s="214"/>
      <c r="X189" s="215"/>
      <c r="Y189" s="134"/>
      <c r="Z189" s="95"/>
      <c r="AA189" s="95"/>
      <c r="AB189" s="96"/>
      <c r="AC189" s="347"/>
      <c r="AD189" s="347"/>
      <c r="AE189" s="347"/>
      <c r="AF189" s="347"/>
      <c r="AI189" s="109" t="str">
        <f>"52:field225:" &amp; IF(I189="■",1,IF(L189="■",2,IF(O189="■",3,0)))</f>
        <v>52:field225:0</v>
      </c>
    </row>
    <row r="190" spans="1:35" s="109" customFormat="1" ht="18.75" customHeight="1" x14ac:dyDescent="0.15">
      <c r="A190" s="97"/>
      <c r="B190" s="98"/>
      <c r="C190" s="210"/>
      <c r="D190" s="211"/>
      <c r="E190" s="101"/>
      <c r="F190" s="102"/>
      <c r="G190" s="101"/>
      <c r="H190" s="200" t="s">
        <v>103</v>
      </c>
      <c r="I190" s="135" t="s">
        <v>196</v>
      </c>
      <c r="J190" s="136" t="s">
        <v>153</v>
      </c>
      <c r="K190" s="136"/>
      <c r="L190" s="139" t="s">
        <v>196</v>
      </c>
      <c r="M190" s="136" t="s">
        <v>157</v>
      </c>
      <c r="N190" s="136"/>
      <c r="O190" s="139" t="s">
        <v>196</v>
      </c>
      <c r="P190" s="136" t="s">
        <v>158</v>
      </c>
      <c r="Q190" s="177"/>
      <c r="R190" s="139" t="s">
        <v>196</v>
      </c>
      <c r="S190" s="136" t="s">
        <v>167</v>
      </c>
      <c r="T190" s="136"/>
      <c r="U190" s="136"/>
      <c r="V190" s="136"/>
      <c r="W190" s="136"/>
      <c r="X190" s="144"/>
      <c r="Y190" s="134"/>
      <c r="Z190" s="95"/>
      <c r="AA190" s="95"/>
      <c r="AB190" s="96"/>
      <c r="AC190" s="347"/>
      <c r="AD190" s="347"/>
      <c r="AE190" s="347"/>
      <c r="AF190" s="347"/>
      <c r="AI190" s="109" t="str">
        <f>"52:serteikyo_kyoka_code:" &amp; IF(I190="■",1,IF(L190="■",6,IF(O190="■",5,IF(R190="■",7,0))))</f>
        <v>52:serteikyo_kyoka_code:0</v>
      </c>
    </row>
    <row r="191" spans="1:35" s="109" customFormat="1" ht="18.75" customHeight="1" x14ac:dyDescent="0.15">
      <c r="A191" s="156"/>
      <c r="B191" s="157"/>
      <c r="C191" s="158"/>
      <c r="D191" s="159"/>
      <c r="E191" s="160"/>
      <c r="F191" s="161"/>
      <c r="G191" s="162"/>
      <c r="H191" s="85" t="s">
        <v>234</v>
      </c>
      <c r="I191" s="163" t="s">
        <v>196</v>
      </c>
      <c r="J191" s="86" t="s">
        <v>153</v>
      </c>
      <c r="K191" s="86"/>
      <c r="L191" s="164" t="s">
        <v>196</v>
      </c>
      <c r="M191" s="86" t="s">
        <v>218</v>
      </c>
      <c r="N191" s="87"/>
      <c r="O191" s="164" t="s">
        <v>196</v>
      </c>
      <c r="P191" s="89" t="s">
        <v>219</v>
      </c>
      <c r="Q191" s="88"/>
      <c r="R191" s="164" t="s">
        <v>196</v>
      </c>
      <c r="S191" s="86" t="s">
        <v>220</v>
      </c>
      <c r="T191" s="88"/>
      <c r="U191" s="164" t="s">
        <v>196</v>
      </c>
      <c r="V191" s="86" t="s">
        <v>221</v>
      </c>
      <c r="W191" s="90"/>
      <c r="X191" s="91"/>
      <c r="Y191" s="165"/>
      <c r="Z191" s="165"/>
      <c r="AA191" s="165"/>
      <c r="AB191" s="166"/>
      <c r="AC191" s="348"/>
      <c r="AD191" s="348"/>
      <c r="AE191" s="348"/>
      <c r="AF191" s="348"/>
      <c r="AI191" s="109" t="str">
        <f>"52:shoguukaizen_code:"&amp;IF(I191="■",1,IF(L191="■",7,IF(O191="■",8,IF(R191="■",9,IF(U191="■","A",0)))))</f>
        <v>52:shoguukaizen_code:0</v>
      </c>
    </row>
    <row r="192" spans="1:35" s="109" customFormat="1" ht="20.25" customHeight="1" x14ac:dyDescent="0.15">
      <c r="A192" s="92"/>
      <c r="B192" s="92"/>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row>
  </sheetData>
  <mergeCells count="44">
    <mergeCell ref="AC109:AF142"/>
    <mergeCell ref="H110:H112"/>
    <mergeCell ref="H131:H132"/>
    <mergeCell ref="AC168:AF191"/>
    <mergeCell ref="H169:H171"/>
    <mergeCell ref="H177:H178"/>
    <mergeCell ref="I177:I178"/>
    <mergeCell ref="J177:K178"/>
    <mergeCell ref="L177:L178"/>
    <mergeCell ref="M177:N178"/>
    <mergeCell ref="AC143:AF167"/>
    <mergeCell ref="H144:H146"/>
    <mergeCell ref="H152:H153"/>
    <mergeCell ref="I152:I153"/>
    <mergeCell ref="J152:K153"/>
    <mergeCell ref="L152:L153"/>
    <mergeCell ref="AC11:AF42"/>
    <mergeCell ref="H12:H14"/>
    <mergeCell ref="AC74:AF108"/>
    <mergeCell ref="H75:H77"/>
    <mergeCell ref="H97:H98"/>
    <mergeCell ref="AC43:AF73"/>
    <mergeCell ref="H44:H46"/>
    <mergeCell ref="D9:E10"/>
    <mergeCell ref="F9:G10"/>
    <mergeCell ref="H9:H10"/>
    <mergeCell ref="Y9:AB10"/>
    <mergeCell ref="M152:N153"/>
    <mergeCell ref="AC9:AF10"/>
    <mergeCell ref="A3:AF3"/>
    <mergeCell ref="A8:C8"/>
    <mergeCell ref="D8:E8"/>
    <mergeCell ref="F8:G8"/>
    <mergeCell ref="H8:X8"/>
    <mergeCell ref="Y8:AB8"/>
    <mergeCell ref="AC8:AF8"/>
    <mergeCell ref="I5:M5"/>
    <mergeCell ref="N5:W5"/>
    <mergeCell ref="X5:Z5"/>
    <mergeCell ref="AA5:AF5"/>
    <mergeCell ref="I6:M6"/>
    <mergeCell ref="N6:W6"/>
    <mergeCell ref="X6:Z6"/>
    <mergeCell ref="A9:C10"/>
  </mergeCells>
  <phoneticPr fontId="1"/>
  <conditionalFormatting sqref="A1:AF4 A7:AF1048576">
    <cfRule type="expression" dxfId="8" priority="2">
      <formula>CELL("protect",A1)=0</formula>
    </cfRule>
  </conditionalFormatting>
  <dataValidations count="1">
    <dataValidation type="list" allowBlank="1" showInputMessage="1" showErrorMessage="1" sqref="Q9:Q10 U9:U10 L177:L191 L133:L142 M15:M19 U12 O30:O32 O26 Y11:Y12 Q12:Q13 A26 M78:M82 U75 O95:O96 P90 Q97:Q98 Y74:Y75 O71:O73 R107:R108 U144 Q75:Q76 Y143:Y144 U42 O99 Q144:Q145 M74:M76 L91:L96 F26:F27 O161:O162 U108 O165:O167 U191 R41:R42 A91 D179 M143:M151 M9:M13 O106:O108 R166:R167 L22:L42 L20 M21 O40:O42 M47:M51 U44 O61:O63 O57 Y43:Y44 Q44:Q45 A57 D26 U73 F57:F58 R72:R73 M43:M45 L52:L73 D57 D90:D91 L99:L108 M84 L118:L123 M113:M117 U110 O129:O130 P124 Q131:Q132 Y109:Y110 R141:R142 Q110:Q111 O133 M109:M111 L125:L130 U142 A125 O140:O142 D124:D125 L83 L85:L89 L155:L167 U167 M154 D154 U169 Y168:Y169 Q169:Q170 O185:O186 O189:O191 A179 M168:M176 R190:R191 L152:L153 A154 I9:I191" xr:uid="{8BB28C27-191F-4C86-9028-693068D0D4A3}">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5" manualBreakCount="5">
    <brk id="42" max="16383" man="1"/>
    <brk id="73" max="16383" man="1"/>
    <brk id="108" max="16383" man="1"/>
    <brk id="142" max="16383" man="1"/>
    <brk id="167" max="16383" man="1"/>
  </rowBreaks>
  <extLst>
    <ext xmlns:x14="http://schemas.microsoft.com/office/spreadsheetml/2009/9/main" uri="{78C0D931-6437-407d-A8EE-F0AAD7539E65}">
      <x14:conditionalFormattings>
        <x14:conditionalFormatting xmlns:xm="http://schemas.microsoft.com/office/excel/2006/main">
          <x14:cfRule type="expression" priority="1" id="{2D5ED528-AB1F-4854-B317-E2E4187AA4FE}">
            <xm:f>CELL("protect",'\\fk13sv01\FileSV\健康福祉部\福祉指導監査課\☆福祉指導監査課☆\05 指定居宅サービス等関係\17 報酬改定\R7_報酬改定\070331 電子申請届出システムに用いる体制表（確定版）につきまして\[（修正版）体制等状況一覧表20250328_012.xlsx]居宅'!#REF!)=0</xm:f>
            <x14:dxf>
              <fill>
                <patternFill>
                  <bgColor theme="9" tint="0.79998168889431442"/>
                </patternFill>
              </fill>
            </x14:dxf>
          </x14:cfRule>
          <xm:sqref>A5:AF6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2875D-1558-43C1-9468-6287DED37FB2}">
  <sheetPr>
    <pageSetUpPr fitToPage="1"/>
  </sheetPr>
  <dimension ref="A2:AL174"/>
  <sheetViews>
    <sheetView view="pageBreakPreview" zoomScale="70" zoomScaleNormal="75" zoomScaleSheetLayoutView="70" workbookViewId="0"/>
  </sheetViews>
  <sheetFormatPr defaultRowHeight="13.5" x14ac:dyDescent="0.15"/>
  <cols>
    <col min="1" max="2" width="4.25" style="118" customWidth="1"/>
    <col min="3" max="3" width="25" style="146" customWidth="1"/>
    <col min="4" max="4" width="4.875" style="146" customWidth="1"/>
    <col min="5" max="5" width="41.625" style="146" customWidth="1"/>
    <col min="6" max="6" width="4.875" style="146" customWidth="1"/>
    <col min="7" max="7" width="19.625" style="146" customWidth="1"/>
    <col min="8" max="8" width="33.875" style="146" customWidth="1"/>
    <col min="9" max="24" width="5.375" style="146" customWidth="1"/>
    <col min="25" max="32" width="4.875" style="146" customWidth="1"/>
    <col min="33" max="38" width="0" style="109" hidden="1" customWidth="1"/>
    <col min="39" max="16384" width="9" style="146"/>
  </cols>
  <sheetData>
    <row r="2" spans="1:38" ht="20.25" customHeight="1" x14ac:dyDescent="0.15">
      <c r="A2" s="107" t="s">
        <v>254</v>
      </c>
      <c r="B2" s="110"/>
    </row>
    <row r="3" spans="1:38" ht="21" customHeight="1" x14ac:dyDescent="0.15">
      <c r="A3" s="327" t="s">
        <v>26</v>
      </c>
      <c r="B3" s="327"/>
      <c r="C3" s="327"/>
      <c r="D3" s="327"/>
      <c r="E3" s="327"/>
      <c r="F3" s="327"/>
      <c r="G3" s="327"/>
      <c r="H3" s="327"/>
      <c r="I3" s="327"/>
      <c r="J3" s="327"/>
      <c r="K3" s="327"/>
      <c r="L3" s="327"/>
      <c r="M3" s="327"/>
      <c r="N3" s="327"/>
      <c r="O3" s="327"/>
      <c r="P3" s="327"/>
      <c r="Q3" s="327"/>
      <c r="R3" s="327"/>
      <c r="S3" s="327"/>
      <c r="T3" s="327"/>
      <c r="U3" s="327"/>
      <c r="V3" s="327"/>
      <c r="W3" s="327"/>
      <c r="X3" s="327"/>
      <c r="Y3" s="327"/>
      <c r="Z3" s="327"/>
      <c r="AA3" s="327"/>
      <c r="AB3" s="327"/>
      <c r="AC3" s="327"/>
      <c r="AD3" s="327"/>
      <c r="AE3" s="327"/>
      <c r="AF3" s="327"/>
    </row>
    <row r="4" spans="1:38" ht="20.25" customHeight="1" x14ac:dyDescent="0.15"/>
    <row r="5" spans="1:38" ht="27" customHeight="1" x14ac:dyDescent="0.15">
      <c r="I5" s="331" t="s">
        <v>257</v>
      </c>
      <c r="J5" s="331"/>
      <c r="K5" s="331"/>
      <c r="L5" s="331"/>
      <c r="M5" s="331"/>
      <c r="N5" s="331"/>
      <c r="O5" s="331"/>
      <c r="P5" s="331"/>
      <c r="Q5" s="331"/>
      <c r="R5" s="331"/>
      <c r="S5" s="331"/>
      <c r="T5" s="331"/>
      <c r="U5" s="331"/>
      <c r="V5" s="331"/>
      <c r="W5" s="331"/>
      <c r="X5" s="329" t="s">
        <v>82</v>
      </c>
      <c r="Y5" s="329"/>
      <c r="Z5" s="330"/>
      <c r="AA5" s="332" t="s">
        <v>258</v>
      </c>
      <c r="AB5" s="333"/>
      <c r="AC5" s="333"/>
      <c r="AD5" s="333"/>
      <c r="AE5" s="333"/>
      <c r="AF5" s="334"/>
      <c r="AG5" s="146"/>
      <c r="AH5" s="146"/>
      <c r="AI5" s="146"/>
      <c r="AJ5" s="146"/>
      <c r="AK5" s="146"/>
      <c r="AL5" s="146"/>
    </row>
    <row r="6" spans="1:38" ht="27.75" customHeight="1" x14ac:dyDescent="0.15">
      <c r="I6" s="331" t="s">
        <v>20</v>
      </c>
      <c r="J6" s="331"/>
      <c r="K6" s="331"/>
      <c r="L6" s="331"/>
      <c r="M6" s="331"/>
      <c r="N6" s="335" t="s">
        <v>259</v>
      </c>
      <c r="O6" s="335"/>
      <c r="P6" s="335"/>
      <c r="Q6" s="335"/>
      <c r="R6" s="335"/>
      <c r="S6" s="335"/>
      <c r="T6" s="335"/>
      <c r="U6" s="335"/>
      <c r="V6" s="335"/>
      <c r="W6" s="335"/>
      <c r="X6" s="331" t="s">
        <v>260</v>
      </c>
      <c r="Y6" s="331"/>
      <c r="Z6" s="331"/>
      <c r="AA6" s="111"/>
      <c r="AB6" s="112" t="s">
        <v>35</v>
      </c>
      <c r="AC6" s="112"/>
      <c r="AD6" s="112" t="s">
        <v>252</v>
      </c>
      <c r="AE6" s="112"/>
      <c r="AF6" s="113" t="s">
        <v>253</v>
      </c>
      <c r="AG6" s="146"/>
      <c r="AH6" s="146"/>
      <c r="AI6" s="146"/>
      <c r="AJ6" s="146"/>
      <c r="AK6" s="146"/>
      <c r="AL6" s="146"/>
    </row>
    <row r="7" spans="1:38" ht="20.25" customHeight="1" x14ac:dyDescent="0.15"/>
    <row r="8" spans="1:38" ht="17.25" customHeight="1" x14ac:dyDescent="0.15">
      <c r="A8" s="328" t="s">
        <v>134</v>
      </c>
      <c r="B8" s="329"/>
      <c r="C8" s="330"/>
      <c r="D8" s="328" t="s">
        <v>1</v>
      </c>
      <c r="E8" s="330"/>
      <c r="F8" s="328" t="s">
        <v>84</v>
      </c>
      <c r="G8" s="330"/>
      <c r="H8" s="328" t="s">
        <v>120</v>
      </c>
      <c r="I8" s="329"/>
      <c r="J8" s="329"/>
      <c r="K8" s="329"/>
      <c r="L8" s="329"/>
      <c r="M8" s="329"/>
      <c r="N8" s="329"/>
      <c r="O8" s="329"/>
      <c r="P8" s="329"/>
      <c r="Q8" s="329"/>
      <c r="R8" s="329"/>
      <c r="S8" s="329"/>
      <c r="T8" s="329"/>
      <c r="U8" s="329"/>
      <c r="V8" s="329"/>
      <c r="W8" s="329"/>
      <c r="X8" s="330"/>
      <c r="Y8" s="328" t="s">
        <v>140</v>
      </c>
      <c r="Z8" s="329"/>
      <c r="AA8" s="329"/>
      <c r="AB8" s="330"/>
      <c r="AC8" s="328" t="s">
        <v>85</v>
      </c>
      <c r="AD8" s="329"/>
      <c r="AE8" s="329"/>
      <c r="AF8" s="330"/>
    </row>
    <row r="9" spans="1:38" ht="18.75" customHeight="1" x14ac:dyDescent="0.15">
      <c r="A9" s="336" t="s">
        <v>86</v>
      </c>
      <c r="B9" s="337"/>
      <c r="C9" s="338"/>
      <c r="D9" s="336"/>
      <c r="E9" s="338"/>
      <c r="F9" s="336"/>
      <c r="G9" s="338"/>
      <c r="H9" s="342" t="s">
        <v>87</v>
      </c>
      <c r="I9" s="197" t="s">
        <v>196</v>
      </c>
      <c r="J9" s="115" t="s">
        <v>144</v>
      </c>
      <c r="K9" s="116"/>
      <c r="L9" s="116"/>
      <c r="M9" s="197" t="s">
        <v>196</v>
      </c>
      <c r="N9" s="115" t="s">
        <v>145</v>
      </c>
      <c r="O9" s="116"/>
      <c r="P9" s="116"/>
      <c r="Q9" s="197" t="s">
        <v>196</v>
      </c>
      <c r="R9" s="115" t="s">
        <v>146</v>
      </c>
      <c r="S9" s="116"/>
      <c r="T9" s="116"/>
      <c r="U9" s="197" t="s">
        <v>196</v>
      </c>
      <c r="V9" s="115" t="s">
        <v>147</v>
      </c>
      <c r="W9" s="116"/>
      <c r="X9" s="117"/>
      <c r="Y9" s="321"/>
      <c r="Z9" s="322"/>
      <c r="AA9" s="322"/>
      <c r="AB9" s="323"/>
      <c r="AC9" s="321"/>
      <c r="AD9" s="322"/>
      <c r="AE9" s="322"/>
      <c r="AF9" s="323"/>
      <c r="AG9" s="109" t="str">
        <f>"tiikikbn_code:"&amp; IF(I9="■",1,IF(M9="■",6,IF(Q9="■",7,IF(U9="■",2,IF(I10="■",3,IF(M10="■",4,IF(Q10="■",9,IF(U10="■",5,0))))))))</f>
        <v>tiikikbn_code:0</v>
      </c>
    </row>
    <row r="10" spans="1:38" ht="18.75" customHeight="1" x14ac:dyDescent="0.15">
      <c r="A10" s="339"/>
      <c r="B10" s="340"/>
      <c r="C10" s="341"/>
      <c r="D10" s="339"/>
      <c r="E10" s="341"/>
      <c r="F10" s="339"/>
      <c r="G10" s="341"/>
      <c r="H10" s="343"/>
      <c r="I10" s="196" t="s">
        <v>196</v>
      </c>
      <c r="J10" s="94" t="s">
        <v>148</v>
      </c>
      <c r="K10" s="121"/>
      <c r="L10" s="121"/>
      <c r="M10" s="197" t="s">
        <v>196</v>
      </c>
      <c r="N10" s="94" t="s">
        <v>149</v>
      </c>
      <c r="O10" s="121"/>
      <c r="P10" s="121"/>
      <c r="Q10" s="197" t="s">
        <v>196</v>
      </c>
      <c r="R10" s="94" t="s">
        <v>150</v>
      </c>
      <c r="S10" s="121"/>
      <c r="T10" s="121"/>
      <c r="U10" s="197" t="s">
        <v>196</v>
      </c>
      <c r="V10" s="94" t="s">
        <v>151</v>
      </c>
      <c r="W10" s="121"/>
      <c r="X10" s="101"/>
      <c r="Y10" s="324"/>
      <c r="Z10" s="325"/>
      <c r="AA10" s="325"/>
      <c r="AB10" s="326"/>
      <c r="AC10" s="324"/>
      <c r="AD10" s="325"/>
      <c r="AE10" s="325"/>
      <c r="AF10" s="326"/>
    </row>
    <row r="11" spans="1:38" s="260" customFormat="1" ht="19.5" customHeight="1" x14ac:dyDescent="0.15">
      <c r="A11" s="41"/>
      <c r="B11" s="242"/>
      <c r="C11" s="247"/>
      <c r="D11" s="6"/>
      <c r="E11" s="248"/>
      <c r="F11" s="244"/>
      <c r="G11" s="23"/>
      <c r="H11" s="249" t="s">
        <v>215</v>
      </c>
      <c r="I11" s="250" t="s">
        <v>196</v>
      </c>
      <c r="J11" s="251" t="s">
        <v>197</v>
      </c>
      <c r="K11" s="252"/>
      <c r="L11" s="253"/>
      <c r="M11" s="254" t="s">
        <v>196</v>
      </c>
      <c r="N11" s="251" t="s">
        <v>216</v>
      </c>
      <c r="O11" s="255"/>
      <c r="P11" s="251"/>
      <c r="Q11" s="256"/>
      <c r="R11" s="256"/>
      <c r="S11" s="256"/>
      <c r="T11" s="256"/>
      <c r="U11" s="256"/>
      <c r="V11" s="256"/>
      <c r="W11" s="256"/>
      <c r="X11" s="257"/>
      <c r="Y11" s="258" t="s">
        <v>196</v>
      </c>
      <c r="Z11" s="22" t="s">
        <v>152</v>
      </c>
      <c r="AA11" s="22"/>
      <c r="AB11" s="259"/>
      <c r="AC11" s="361"/>
      <c r="AD11" s="362"/>
      <c r="AE11" s="362"/>
      <c r="AF11" s="363"/>
      <c r="AG11" s="260" t="str">
        <f>"ser_code = '" &amp; IF(A17="■",14,"") &amp; "'"</f>
        <v>ser_code = ''</v>
      </c>
      <c r="AI11" s="260" t="str">
        <f>"14:field223:" &amp; IF(I11="■",1,IF(M11="■",2,0))</f>
        <v>14:field223:0</v>
      </c>
      <c r="AJ11" s="260" t="str">
        <f>"14:field203:" &amp; IF(Y11="■",1,IF(Y12="■",2,0))</f>
        <v>14:field203:0</v>
      </c>
    </row>
    <row r="12" spans="1:38" s="260" customFormat="1" ht="19.5" customHeight="1" x14ac:dyDescent="0.15">
      <c r="A12" s="261"/>
      <c r="B12" s="262"/>
      <c r="C12" s="263"/>
      <c r="D12" s="264"/>
      <c r="E12" s="265"/>
      <c r="F12" s="245"/>
      <c r="G12" s="266"/>
      <c r="H12" s="267" t="s">
        <v>226</v>
      </c>
      <c r="I12" s="268" t="s">
        <v>196</v>
      </c>
      <c r="J12" s="269" t="s">
        <v>197</v>
      </c>
      <c r="K12" s="270"/>
      <c r="L12" s="271"/>
      <c r="M12" s="272" t="s">
        <v>196</v>
      </c>
      <c r="N12" s="269" t="s">
        <v>216</v>
      </c>
      <c r="O12" s="273"/>
      <c r="P12" s="269"/>
      <c r="Q12" s="274"/>
      <c r="R12" s="274"/>
      <c r="S12" s="274"/>
      <c r="T12" s="274"/>
      <c r="U12" s="274"/>
      <c r="V12" s="274"/>
      <c r="W12" s="274"/>
      <c r="X12" s="275"/>
      <c r="Y12" s="276" t="s">
        <v>196</v>
      </c>
      <c r="Z12" s="2" t="s">
        <v>156</v>
      </c>
      <c r="AA12" s="277"/>
      <c r="AB12" s="278"/>
      <c r="AC12" s="364"/>
      <c r="AD12" s="365"/>
      <c r="AE12" s="365"/>
      <c r="AF12" s="366"/>
      <c r="AG12" s="260" t="str">
        <f>"14:sisetukbn_code:" &amp; IF(D16="■",1,IF(D17="■",2,IF(D18="■",3,0)))</f>
        <v>14:sisetukbn_code:0</v>
      </c>
      <c r="AI12" s="260" t="str">
        <f>"14:field232:" &amp; IF(I12="■",1,IF(M12="■",2,0))</f>
        <v>14:field232:0</v>
      </c>
    </row>
    <row r="13" spans="1:38" s="260" customFormat="1" ht="19.5" customHeight="1" x14ac:dyDescent="0.15">
      <c r="A13" s="261"/>
      <c r="B13" s="262"/>
      <c r="C13" s="263"/>
      <c r="D13" s="264"/>
      <c r="E13" s="265"/>
      <c r="F13" s="245"/>
      <c r="G13" s="266"/>
      <c r="H13" s="279" t="s">
        <v>261</v>
      </c>
      <c r="I13" s="280" t="s">
        <v>196</v>
      </c>
      <c r="J13" s="281" t="s">
        <v>153</v>
      </c>
      <c r="K13" s="282"/>
      <c r="L13" s="276" t="s">
        <v>196</v>
      </c>
      <c r="M13" s="281" t="s">
        <v>161</v>
      </c>
      <c r="N13" s="281"/>
      <c r="O13" s="281"/>
      <c r="P13" s="281"/>
      <c r="Q13" s="283"/>
      <c r="R13" s="283"/>
      <c r="S13" s="283"/>
      <c r="T13" s="283"/>
      <c r="U13" s="283"/>
      <c r="V13" s="283"/>
      <c r="W13" s="283"/>
      <c r="X13" s="284"/>
      <c r="Y13" s="1"/>
      <c r="Z13" s="2"/>
      <c r="AA13" s="277"/>
      <c r="AB13" s="278"/>
      <c r="AC13" s="364"/>
      <c r="AD13" s="365"/>
      <c r="AE13" s="365"/>
      <c r="AF13" s="366"/>
      <c r="AI13" s="260" t="str">
        <f>"14:tokutiiki_code:" &amp; IF(I13="■",1,IF(L13="■",2,0))</f>
        <v>14:tokutiiki_code:0</v>
      </c>
    </row>
    <row r="14" spans="1:38" s="260" customFormat="1" ht="18.75" customHeight="1" x14ac:dyDescent="0.15">
      <c r="A14" s="261"/>
      <c r="B14" s="262"/>
      <c r="C14" s="263"/>
      <c r="D14" s="264"/>
      <c r="E14" s="265"/>
      <c r="F14" s="245"/>
      <c r="G14" s="266"/>
      <c r="H14" s="370" t="s">
        <v>262</v>
      </c>
      <c r="I14" s="372" t="s">
        <v>196</v>
      </c>
      <c r="J14" s="357" t="s">
        <v>263</v>
      </c>
      <c r="K14" s="357"/>
      <c r="L14" s="357"/>
      <c r="M14" s="374" t="s">
        <v>196</v>
      </c>
      <c r="N14" s="357" t="s">
        <v>264</v>
      </c>
      <c r="O14" s="357"/>
      <c r="P14" s="357"/>
      <c r="Q14" s="285"/>
      <c r="R14" s="285"/>
      <c r="S14" s="285"/>
      <c r="T14" s="285"/>
      <c r="U14" s="285"/>
      <c r="V14" s="285"/>
      <c r="W14" s="285"/>
      <c r="X14" s="286"/>
      <c r="Y14" s="1"/>
      <c r="Z14" s="1"/>
      <c r="AA14" s="1"/>
      <c r="AB14" s="278"/>
      <c r="AC14" s="364"/>
      <c r="AD14" s="365"/>
      <c r="AE14" s="365"/>
      <c r="AF14" s="366"/>
      <c r="AI14" s="260" t="str">
        <f>"14:chuusankanti_tiiki_code:" &amp; IF(I14="■",1,IF(M14="■",2,0))</f>
        <v>14:chuusankanti_tiiki_code:0</v>
      </c>
    </row>
    <row r="15" spans="1:38" s="260" customFormat="1" ht="18.75" customHeight="1" x14ac:dyDescent="0.15">
      <c r="A15" s="261"/>
      <c r="B15" s="262"/>
      <c r="C15" s="263"/>
      <c r="D15" s="264"/>
      <c r="E15" s="265"/>
      <c r="F15" s="245"/>
      <c r="G15" s="266"/>
      <c r="H15" s="371"/>
      <c r="I15" s="373"/>
      <c r="J15" s="358"/>
      <c r="K15" s="358"/>
      <c r="L15" s="358"/>
      <c r="M15" s="375"/>
      <c r="N15" s="358"/>
      <c r="O15" s="358"/>
      <c r="P15" s="358"/>
      <c r="Q15" s="283"/>
      <c r="R15" s="283"/>
      <c r="S15" s="283"/>
      <c r="T15" s="283"/>
      <c r="U15" s="283"/>
      <c r="V15" s="283"/>
      <c r="W15" s="283"/>
      <c r="X15" s="284"/>
      <c r="Y15" s="287"/>
      <c r="Z15" s="277"/>
      <c r="AA15" s="277"/>
      <c r="AB15" s="278"/>
      <c r="AC15" s="364"/>
      <c r="AD15" s="365"/>
      <c r="AE15" s="365"/>
      <c r="AF15" s="366"/>
    </row>
    <row r="16" spans="1:38" s="260" customFormat="1" ht="18.75" customHeight="1" x14ac:dyDescent="0.15">
      <c r="A16" s="261"/>
      <c r="B16" s="262"/>
      <c r="C16" s="263"/>
      <c r="D16" s="276" t="s">
        <v>196</v>
      </c>
      <c r="E16" s="265" t="s">
        <v>265</v>
      </c>
      <c r="F16" s="245"/>
      <c r="G16" s="266"/>
      <c r="H16" s="370" t="s">
        <v>266</v>
      </c>
      <c r="I16" s="372" t="s">
        <v>196</v>
      </c>
      <c r="J16" s="357" t="s">
        <v>263</v>
      </c>
      <c r="K16" s="357"/>
      <c r="L16" s="357"/>
      <c r="M16" s="374" t="s">
        <v>196</v>
      </c>
      <c r="N16" s="357" t="s">
        <v>264</v>
      </c>
      <c r="O16" s="357"/>
      <c r="P16" s="357"/>
      <c r="Q16" s="285"/>
      <c r="R16" s="285"/>
      <c r="S16" s="285"/>
      <c r="T16" s="285"/>
      <c r="U16" s="285"/>
      <c r="V16" s="285"/>
      <c r="W16" s="285"/>
      <c r="X16" s="286"/>
      <c r="Y16" s="287"/>
      <c r="Z16" s="277"/>
      <c r="AA16" s="277"/>
      <c r="AB16" s="278"/>
      <c r="AC16" s="364"/>
      <c r="AD16" s="365"/>
      <c r="AE16" s="365"/>
      <c r="AF16" s="366"/>
      <c r="AI16" s="260" t="str">
        <f>"14:chuusankanti_kibo_code:" &amp; IF(I16="■",1,IF(M16="■",2,0))</f>
        <v>14:chuusankanti_kibo_code:0</v>
      </c>
    </row>
    <row r="17" spans="1:36" s="260" customFormat="1" ht="18.75" customHeight="1" x14ac:dyDescent="0.15">
      <c r="A17" s="280" t="s">
        <v>196</v>
      </c>
      <c r="B17" s="262">
        <v>14</v>
      </c>
      <c r="C17" s="263" t="s">
        <v>267</v>
      </c>
      <c r="D17" s="276" t="s">
        <v>196</v>
      </c>
      <c r="E17" s="265" t="s">
        <v>165</v>
      </c>
      <c r="F17" s="245"/>
      <c r="G17" s="266"/>
      <c r="H17" s="371"/>
      <c r="I17" s="373"/>
      <c r="J17" s="358"/>
      <c r="K17" s="358"/>
      <c r="L17" s="358"/>
      <c r="M17" s="375"/>
      <c r="N17" s="358"/>
      <c r="O17" s="358"/>
      <c r="P17" s="358"/>
      <c r="Q17" s="283"/>
      <c r="R17" s="283"/>
      <c r="S17" s="283"/>
      <c r="T17" s="283"/>
      <c r="U17" s="283"/>
      <c r="V17" s="283"/>
      <c r="W17" s="283"/>
      <c r="X17" s="284"/>
      <c r="Y17" s="287"/>
      <c r="Z17" s="277"/>
      <c r="AA17" s="277"/>
      <c r="AB17" s="278"/>
      <c r="AC17" s="364"/>
      <c r="AD17" s="365"/>
      <c r="AE17" s="365"/>
      <c r="AF17" s="366"/>
    </row>
    <row r="18" spans="1:36" s="260" customFormat="1" ht="19.5" customHeight="1" x14ac:dyDescent="0.15">
      <c r="A18" s="261"/>
      <c r="B18" s="262"/>
      <c r="C18" s="263"/>
      <c r="D18" s="276" t="s">
        <v>196</v>
      </c>
      <c r="E18" s="265" t="s">
        <v>268</v>
      </c>
      <c r="F18" s="245"/>
      <c r="G18" s="266"/>
      <c r="H18" s="288" t="s">
        <v>115</v>
      </c>
      <c r="I18" s="289" t="s">
        <v>196</v>
      </c>
      <c r="J18" s="290" t="s">
        <v>153</v>
      </c>
      <c r="K18" s="290"/>
      <c r="L18" s="291"/>
      <c r="M18" s="292" t="s">
        <v>196</v>
      </c>
      <c r="N18" s="290" t="s">
        <v>232</v>
      </c>
      <c r="O18" s="293"/>
      <c r="P18" s="294"/>
      <c r="Q18" s="295" t="s">
        <v>196</v>
      </c>
      <c r="R18" s="296" t="s">
        <v>233</v>
      </c>
      <c r="S18" s="296"/>
      <c r="T18" s="296"/>
      <c r="U18" s="297"/>
      <c r="V18" s="296"/>
      <c r="W18" s="296"/>
      <c r="X18" s="298"/>
      <c r="Y18" s="287"/>
      <c r="Z18" s="277"/>
      <c r="AA18" s="277"/>
      <c r="AB18" s="278"/>
      <c r="AC18" s="364"/>
      <c r="AD18" s="365"/>
      <c r="AE18" s="365"/>
      <c r="AF18" s="366"/>
      <c r="AI18" s="260" t="str">
        <f>"14:field149:" &amp; IF(I18="■",1,IF(Q18="■",6,IF(M18="■",3,0)))</f>
        <v>14:field149:0</v>
      </c>
    </row>
    <row r="19" spans="1:36" s="260" customFormat="1" ht="19.5" customHeight="1" x14ac:dyDescent="0.15">
      <c r="A19" s="261"/>
      <c r="B19" s="262"/>
      <c r="C19" s="263"/>
      <c r="D19" s="299"/>
      <c r="E19" s="265"/>
      <c r="F19" s="245"/>
      <c r="G19" s="266"/>
      <c r="H19" s="370" t="s">
        <v>222</v>
      </c>
      <c r="I19" s="376" t="s">
        <v>196</v>
      </c>
      <c r="J19" s="357" t="s">
        <v>153</v>
      </c>
      <c r="K19" s="357"/>
      <c r="L19" s="359" t="s">
        <v>196</v>
      </c>
      <c r="M19" s="357" t="s">
        <v>161</v>
      </c>
      <c r="N19" s="357"/>
      <c r="O19" s="2"/>
      <c r="P19" s="241"/>
      <c r="Q19" s="241"/>
      <c r="R19" s="241"/>
      <c r="S19" s="1"/>
      <c r="T19" s="1"/>
      <c r="U19" s="241"/>
      <c r="V19" s="241"/>
      <c r="W19" s="1"/>
      <c r="X19" s="300"/>
      <c r="Y19" s="287"/>
      <c r="Z19" s="277"/>
      <c r="AA19" s="277"/>
      <c r="AB19" s="278"/>
      <c r="AC19" s="364"/>
      <c r="AD19" s="365"/>
      <c r="AE19" s="365"/>
      <c r="AF19" s="366"/>
      <c r="AI19" s="260" t="str">
        <f>"14:field239:" &amp; IF(I19="■",1,IF(L19="■",2,0))</f>
        <v>14:field239:0</v>
      </c>
    </row>
    <row r="20" spans="1:36" s="260" customFormat="1" ht="19.5" customHeight="1" x14ac:dyDescent="0.15">
      <c r="A20" s="261"/>
      <c r="B20" s="262"/>
      <c r="C20" s="263"/>
      <c r="D20" s="299"/>
      <c r="E20" s="265"/>
      <c r="F20" s="245"/>
      <c r="G20" s="266"/>
      <c r="H20" s="371"/>
      <c r="I20" s="377"/>
      <c r="J20" s="358"/>
      <c r="K20" s="358"/>
      <c r="L20" s="360"/>
      <c r="M20" s="358"/>
      <c r="N20" s="358"/>
      <c r="O20" s="2"/>
      <c r="P20" s="241"/>
      <c r="Q20" s="301"/>
      <c r="R20" s="301"/>
      <c r="S20" s="1"/>
      <c r="T20" s="1"/>
      <c r="U20" s="301"/>
      <c r="V20" s="301"/>
      <c r="W20" s="1"/>
      <c r="X20" s="300"/>
      <c r="Y20" s="287"/>
      <c r="Z20" s="277"/>
      <c r="AA20" s="277"/>
      <c r="AB20" s="278"/>
      <c r="AC20" s="364"/>
      <c r="AD20" s="365"/>
      <c r="AE20" s="365"/>
      <c r="AF20" s="366"/>
    </row>
    <row r="21" spans="1:36" s="260" customFormat="1" ht="19.5" customHeight="1" x14ac:dyDescent="0.15">
      <c r="A21" s="261"/>
      <c r="B21" s="262"/>
      <c r="C21" s="263"/>
      <c r="D21" s="264"/>
      <c r="E21" s="265"/>
      <c r="F21" s="245"/>
      <c r="G21" s="266"/>
      <c r="H21" s="267" t="s">
        <v>217</v>
      </c>
      <c r="I21" s="268" t="s">
        <v>196</v>
      </c>
      <c r="J21" s="269" t="s">
        <v>153</v>
      </c>
      <c r="K21" s="269"/>
      <c r="L21" s="272" t="s">
        <v>196</v>
      </c>
      <c r="M21" s="269" t="s">
        <v>161</v>
      </c>
      <c r="N21" s="269"/>
      <c r="O21" s="274"/>
      <c r="P21" s="269"/>
      <c r="Q21" s="274"/>
      <c r="R21" s="274"/>
      <c r="S21" s="274"/>
      <c r="T21" s="274"/>
      <c r="U21" s="274"/>
      <c r="V21" s="274"/>
      <c r="W21" s="274"/>
      <c r="X21" s="275"/>
      <c r="Y21" s="277"/>
      <c r="Z21" s="277"/>
      <c r="AA21" s="277"/>
      <c r="AB21" s="278"/>
      <c r="AC21" s="364"/>
      <c r="AD21" s="365"/>
      <c r="AE21" s="365"/>
      <c r="AF21" s="366"/>
      <c r="AI21" s="260" t="str">
        <f>"14:field224:" &amp; IF(I21="■",1,IF(L21="■",2,0))</f>
        <v>14:field224:0</v>
      </c>
    </row>
    <row r="22" spans="1:36" s="260" customFormat="1" ht="19.5" customHeight="1" x14ac:dyDescent="0.15">
      <c r="A22" s="261"/>
      <c r="B22" s="262"/>
      <c r="C22" s="263"/>
      <c r="D22" s="264"/>
      <c r="E22" s="265"/>
      <c r="F22" s="245"/>
      <c r="G22" s="266"/>
      <c r="H22" s="302" t="s">
        <v>141</v>
      </c>
      <c r="I22" s="289" t="s">
        <v>196</v>
      </c>
      <c r="J22" s="269" t="s">
        <v>153</v>
      </c>
      <c r="K22" s="270"/>
      <c r="L22" s="272" t="s">
        <v>196</v>
      </c>
      <c r="M22" s="269" t="s">
        <v>161</v>
      </c>
      <c r="N22" s="269"/>
      <c r="O22" s="274"/>
      <c r="P22" s="274"/>
      <c r="Q22" s="274"/>
      <c r="R22" s="274"/>
      <c r="S22" s="274"/>
      <c r="T22" s="274"/>
      <c r="U22" s="274"/>
      <c r="V22" s="274"/>
      <c r="W22" s="274"/>
      <c r="X22" s="275"/>
      <c r="Y22" s="287"/>
      <c r="Z22" s="277"/>
      <c r="AA22" s="277"/>
      <c r="AB22" s="278"/>
      <c r="AC22" s="364"/>
      <c r="AD22" s="365"/>
      <c r="AE22" s="365"/>
      <c r="AF22" s="366"/>
      <c r="AI22" s="260" t="str">
        <f>"14:field150:" &amp; IF(I22="■",1,IF(L22="■",2,0))</f>
        <v>14:field150:0</v>
      </c>
    </row>
    <row r="23" spans="1:36" s="260" customFormat="1" ht="19.5" customHeight="1" x14ac:dyDescent="0.15">
      <c r="A23" s="303"/>
      <c r="B23" s="243"/>
      <c r="C23" s="304"/>
      <c r="D23" s="305"/>
      <c r="E23" s="306"/>
      <c r="F23" s="246"/>
      <c r="G23" s="307"/>
      <c r="H23" s="308" t="s">
        <v>269</v>
      </c>
      <c r="I23" s="309" t="s">
        <v>196</v>
      </c>
      <c r="J23" s="43" t="s">
        <v>153</v>
      </c>
      <c r="K23" s="43"/>
      <c r="L23" s="310" t="s">
        <v>196</v>
      </c>
      <c r="M23" s="43" t="s">
        <v>162</v>
      </c>
      <c r="N23" s="43"/>
      <c r="O23" s="310" t="s">
        <v>196</v>
      </c>
      <c r="P23" s="43" t="s">
        <v>164</v>
      </c>
      <c r="Q23" s="311"/>
      <c r="R23" s="311"/>
      <c r="S23" s="311"/>
      <c r="T23" s="311"/>
      <c r="U23" s="311"/>
      <c r="V23" s="311"/>
      <c r="W23" s="311"/>
      <c r="X23" s="312"/>
      <c r="Y23" s="313"/>
      <c r="Z23" s="314"/>
      <c r="AA23" s="314"/>
      <c r="AB23" s="315"/>
      <c r="AC23" s="367"/>
      <c r="AD23" s="368"/>
      <c r="AE23" s="368"/>
      <c r="AF23" s="369"/>
      <c r="AI23" s="260" t="str">
        <f>"14:serteikyo_kyoka_code:" &amp; IF(I23="■",1,IF(L23="■",3,IF(O23="■",4,0)))</f>
        <v>14:serteikyo_kyoka_code:0</v>
      </c>
    </row>
    <row r="24" spans="1:36" s="109" customFormat="1" ht="18.75" customHeight="1" x14ac:dyDescent="0.15">
      <c r="A24" s="122"/>
      <c r="B24" s="123"/>
      <c r="C24" s="124"/>
      <c r="D24" s="125"/>
      <c r="E24" s="117"/>
      <c r="F24" s="125"/>
      <c r="G24" s="192"/>
      <c r="H24" s="380" t="s">
        <v>121</v>
      </c>
      <c r="I24" s="225" t="s">
        <v>196</v>
      </c>
      <c r="J24" s="115" t="s">
        <v>153</v>
      </c>
      <c r="K24" s="115"/>
      <c r="L24" s="202"/>
      <c r="M24" s="227" t="s">
        <v>196</v>
      </c>
      <c r="N24" s="115" t="s">
        <v>168</v>
      </c>
      <c r="O24" s="115"/>
      <c r="P24" s="202"/>
      <c r="Q24" s="227" t="s">
        <v>196</v>
      </c>
      <c r="R24" s="226" t="s">
        <v>169</v>
      </c>
      <c r="S24" s="226"/>
      <c r="T24" s="226"/>
      <c r="U24" s="227" t="s">
        <v>196</v>
      </c>
      <c r="V24" s="226" t="s">
        <v>170</v>
      </c>
      <c r="W24" s="226"/>
      <c r="X24" s="192"/>
      <c r="Y24" s="225" t="s">
        <v>196</v>
      </c>
      <c r="Z24" s="115" t="s">
        <v>152</v>
      </c>
      <c r="AA24" s="115"/>
      <c r="AB24" s="128"/>
      <c r="AC24" s="346"/>
      <c r="AD24" s="346"/>
      <c r="AE24" s="346"/>
      <c r="AF24" s="346"/>
      <c r="AG24" s="109" t="str">
        <f>"ser_code = '" &amp; IF(A35="■",16,"") &amp; "'"</f>
        <v>ser_code = ''</v>
      </c>
      <c r="AI24" s="109" t="str">
        <f>"16:"&amp;IF(AND(I24="□",M24="□",Q24="□",U24="□",I25="□",M25="□",Q25="□"),"ketu_doctor_code:0",IF(I24="■","ketu_doctor_code:1:ketu_kangos_code:1:ketu_kshoku_code:1:ketu_rryoho_code:1:ketu_sryoho_code:1:ketu_gengo_code:1",
IF(M24="■","ketu_doctor_code:2","ketu_doctor_code:1")
&amp;IF(Q24="■",":ketu_kangos_code:2",":ketu_kangos_code:1")
&amp;IF(U24="■",":ketu_kshoku_code:2",":ketu_kshoku_code:1")
&amp;IF(I25="■",":ketu_rryoho_code:2",":ketu_rryoho_code:1")
&amp;IF(M25="■",":ketu_sryoho_code:2",":ketu_sryoho_code:1")
&amp;IF(Q25="■",":ketu_gengo_code:2",":ketu_gengo_code:1")))</f>
        <v>16:ketu_doctor_code:0</v>
      </c>
      <c r="AJ24" s="109" t="str">
        <f>"16:field203:" &amp; IF(Y24="■",1,IF(Y25="■",2,0))</f>
        <v>16:field203:0</v>
      </c>
    </row>
    <row r="25" spans="1:36" s="109" customFormat="1" ht="18.75" customHeight="1" x14ac:dyDescent="0.15">
      <c r="A25" s="97"/>
      <c r="B25" s="119"/>
      <c r="C25" s="99"/>
      <c r="D25" s="100"/>
      <c r="E25" s="101"/>
      <c r="F25" s="100"/>
      <c r="G25" s="153"/>
      <c r="H25" s="381"/>
      <c r="I25" s="197" t="s">
        <v>196</v>
      </c>
      <c r="J25" s="105" t="s">
        <v>171</v>
      </c>
      <c r="K25" s="148"/>
      <c r="L25" s="148"/>
      <c r="M25" s="197" t="s">
        <v>196</v>
      </c>
      <c r="N25" s="105" t="s">
        <v>172</v>
      </c>
      <c r="O25" s="148"/>
      <c r="P25" s="148"/>
      <c r="Q25" s="197" t="s">
        <v>196</v>
      </c>
      <c r="R25" s="105" t="s">
        <v>173</v>
      </c>
      <c r="S25" s="148"/>
      <c r="T25" s="148"/>
      <c r="U25" s="148"/>
      <c r="V25" s="148"/>
      <c r="W25" s="148"/>
      <c r="X25" s="229"/>
      <c r="Y25" s="197" t="s">
        <v>196</v>
      </c>
      <c r="Z25" s="94" t="s">
        <v>156</v>
      </c>
      <c r="AA25" s="95"/>
      <c r="AB25" s="96"/>
      <c r="AC25" s="382"/>
      <c r="AD25" s="382"/>
      <c r="AE25" s="382"/>
      <c r="AF25" s="382"/>
      <c r="AG25" s="109" t="str">
        <f>"16:sisetukbn_code:" &amp; IF(D31="■",4,IF(D32="■",7,IF(D33="■","A",IF(D34="■","D",IF(D35="■","E",IF(D36="■","F",IF(D37="■","G",IF(D38="■","H",IF(D39="■","J",0)))))))))</f>
        <v>16:sisetukbn_code:0</v>
      </c>
    </row>
    <row r="26" spans="1:36" s="109" customFormat="1" ht="19.5" customHeight="1" x14ac:dyDescent="0.15">
      <c r="A26" s="97"/>
      <c r="B26" s="119"/>
      <c r="C26" s="99"/>
      <c r="D26" s="100"/>
      <c r="E26" s="101"/>
      <c r="F26" s="102"/>
      <c r="G26" s="103"/>
      <c r="H26" s="104" t="s">
        <v>215</v>
      </c>
      <c r="I26" s="135" t="s">
        <v>196</v>
      </c>
      <c r="J26" s="136" t="s">
        <v>197</v>
      </c>
      <c r="K26" s="137"/>
      <c r="L26" s="138"/>
      <c r="M26" s="139" t="s">
        <v>196</v>
      </c>
      <c r="N26" s="136" t="s">
        <v>216</v>
      </c>
      <c r="O26" s="140"/>
      <c r="P26" s="136"/>
      <c r="Q26" s="141"/>
      <c r="R26" s="141"/>
      <c r="S26" s="141"/>
      <c r="T26" s="141"/>
      <c r="U26" s="141"/>
      <c r="V26" s="141"/>
      <c r="W26" s="141"/>
      <c r="X26" s="142"/>
      <c r="Y26" s="95"/>
      <c r="Z26" s="95"/>
      <c r="AA26" s="95"/>
      <c r="AB26" s="96"/>
      <c r="AC26" s="382"/>
      <c r="AD26" s="382"/>
      <c r="AE26" s="382"/>
      <c r="AF26" s="382"/>
      <c r="AI26" s="109" t="str">
        <f>"16:field223:" &amp; IF(I26="■",1,IF(M26="■",2,0))</f>
        <v>16:field223:0</v>
      </c>
    </row>
    <row r="27" spans="1:36" s="109" customFormat="1" ht="19.5" customHeight="1" x14ac:dyDescent="0.15">
      <c r="A27" s="97"/>
      <c r="B27" s="119"/>
      <c r="C27" s="99"/>
      <c r="D27" s="100"/>
      <c r="E27" s="101"/>
      <c r="F27" s="102"/>
      <c r="G27" s="103"/>
      <c r="H27" s="104" t="s">
        <v>226</v>
      </c>
      <c r="I27" s="135" t="s">
        <v>196</v>
      </c>
      <c r="J27" s="136" t="s">
        <v>197</v>
      </c>
      <c r="K27" s="137"/>
      <c r="L27" s="138"/>
      <c r="M27" s="139" t="s">
        <v>196</v>
      </c>
      <c r="N27" s="136" t="s">
        <v>216</v>
      </c>
      <c r="O27" s="140"/>
      <c r="P27" s="136"/>
      <c r="Q27" s="141"/>
      <c r="R27" s="141"/>
      <c r="S27" s="141"/>
      <c r="T27" s="141"/>
      <c r="U27" s="141"/>
      <c r="V27" s="141"/>
      <c r="W27" s="141"/>
      <c r="X27" s="142"/>
      <c r="Y27" s="95"/>
      <c r="Z27" s="95"/>
      <c r="AA27" s="95"/>
      <c r="AB27" s="96"/>
      <c r="AC27" s="382"/>
      <c r="AD27" s="382"/>
      <c r="AE27" s="382"/>
      <c r="AF27" s="382"/>
      <c r="AI27" s="109" t="str">
        <f>"16:field232:" &amp; IF(I27="■",1,IF(M27="■",2,0))</f>
        <v>16:field232:0</v>
      </c>
    </row>
    <row r="28" spans="1:36" s="109" customFormat="1" ht="18.75" customHeight="1" x14ac:dyDescent="0.15">
      <c r="A28" s="97"/>
      <c r="B28" s="119"/>
      <c r="C28" s="99"/>
      <c r="D28" s="100"/>
      <c r="E28" s="101"/>
      <c r="F28" s="100"/>
      <c r="G28" s="153"/>
      <c r="H28" s="383" t="s">
        <v>137</v>
      </c>
      <c r="I28" s="353" t="s">
        <v>196</v>
      </c>
      <c r="J28" s="344" t="s">
        <v>153</v>
      </c>
      <c r="K28" s="344"/>
      <c r="L28" s="355" t="s">
        <v>196</v>
      </c>
      <c r="M28" s="344" t="s">
        <v>161</v>
      </c>
      <c r="N28" s="344"/>
      <c r="O28" s="179"/>
      <c r="P28" s="179"/>
      <c r="Q28" s="179"/>
      <c r="R28" s="179"/>
      <c r="S28" s="179"/>
      <c r="T28" s="179"/>
      <c r="U28" s="179"/>
      <c r="V28" s="179"/>
      <c r="W28" s="179"/>
      <c r="X28" s="228"/>
      <c r="Y28" s="134"/>
      <c r="Z28" s="95"/>
      <c r="AA28" s="95"/>
      <c r="AB28" s="96"/>
      <c r="AC28" s="347"/>
      <c r="AD28" s="347"/>
      <c r="AE28" s="347"/>
      <c r="AF28" s="347"/>
      <c r="AI28" s="109" t="str">
        <f>"16:field204:" &amp; IF(I28="■",1,IF(L28="■",2,0))</f>
        <v>16:field204:0</v>
      </c>
    </row>
    <row r="29" spans="1:36" s="109" customFormat="1" ht="18.75" customHeight="1" x14ac:dyDescent="0.15">
      <c r="A29" s="97"/>
      <c r="B29" s="119"/>
      <c r="C29" s="99"/>
      <c r="D29" s="100"/>
      <c r="E29" s="101"/>
      <c r="F29" s="100"/>
      <c r="G29" s="153"/>
      <c r="H29" s="383"/>
      <c r="I29" s="384"/>
      <c r="J29" s="379"/>
      <c r="K29" s="379"/>
      <c r="L29" s="378"/>
      <c r="M29" s="379"/>
      <c r="N29" s="379"/>
      <c r="O29" s="146"/>
      <c r="P29" s="146"/>
      <c r="Q29" s="146"/>
      <c r="R29" s="146"/>
      <c r="S29" s="146"/>
      <c r="T29" s="146"/>
      <c r="U29" s="146"/>
      <c r="V29" s="146"/>
      <c r="W29" s="146"/>
      <c r="X29" s="153"/>
      <c r="Y29" s="134"/>
      <c r="Z29" s="95"/>
      <c r="AA29" s="95"/>
      <c r="AB29" s="96"/>
      <c r="AC29" s="347"/>
      <c r="AD29" s="347"/>
      <c r="AE29" s="347"/>
      <c r="AF29" s="347"/>
    </row>
    <row r="30" spans="1:36" s="109" customFormat="1" ht="18.75" customHeight="1" x14ac:dyDescent="0.15">
      <c r="A30" s="97"/>
      <c r="B30" s="119"/>
      <c r="C30" s="99"/>
      <c r="D30" s="100"/>
      <c r="E30" s="101"/>
      <c r="F30" s="100"/>
      <c r="G30" s="153"/>
      <c r="H30" s="383"/>
      <c r="I30" s="354"/>
      <c r="J30" s="345"/>
      <c r="K30" s="345"/>
      <c r="L30" s="356"/>
      <c r="M30" s="345"/>
      <c r="N30" s="345"/>
      <c r="O30" s="148"/>
      <c r="P30" s="148"/>
      <c r="Q30" s="148"/>
      <c r="R30" s="148"/>
      <c r="S30" s="148"/>
      <c r="T30" s="148"/>
      <c r="U30" s="148"/>
      <c r="V30" s="148"/>
      <c r="W30" s="148"/>
      <c r="X30" s="229"/>
      <c r="Y30" s="134"/>
      <c r="Z30" s="95"/>
      <c r="AA30" s="95"/>
      <c r="AB30" s="96"/>
      <c r="AC30" s="347"/>
      <c r="AD30" s="347"/>
      <c r="AE30" s="347"/>
      <c r="AF30" s="347"/>
    </row>
    <row r="31" spans="1:36" s="109" customFormat="1" ht="18.75" customHeight="1" x14ac:dyDescent="0.15">
      <c r="A31" s="97"/>
      <c r="B31" s="119"/>
      <c r="C31" s="99"/>
      <c r="D31" s="197" t="s">
        <v>196</v>
      </c>
      <c r="E31" s="101" t="s">
        <v>178</v>
      </c>
      <c r="F31" s="100"/>
      <c r="G31" s="153"/>
      <c r="H31" s="203" t="s">
        <v>91</v>
      </c>
      <c r="I31" s="135" t="s">
        <v>196</v>
      </c>
      <c r="J31" s="136" t="s">
        <v>159</v>
      </c>
      <c r="K31" s="137"/>
      <c r="L31" s="138"/>
      <c r="M31" s="139" t="s">
        <v>196</v>
      </c>
      <c r="N31" s="136" t="s">
        <v>160</v>
      </c>
      <c r="O31" s="141"/>
      <c r="P31" s="141"/>
      <c r="Q31" s="141"/>
      <c r="R31" s="141"/>
      <c r="S31" s="141"/>
      <c r="T31" s="141"/>
      <c r="U31" s="141"/>
      <c r="V31" s="141"/>
      <c r="W31" s="141"/>
      <c r="X31" s="142"/>
      <c r="Y31" s="134"/>
      <c r="Z31" s="95"/>
      <c r="AA31" s="95"/>
      <c r="AB31" s="96"/>
      <c r="AC31" s="347"/>
      <c r="AD31" s="347"/>
      <c r="AE31" s="347"/>
      <c r="AF31" s="347"/>
      <c r="AI31" s="109" t="str">
        <f>"16:timeser_code:" &amp; IF(I31="■",1,IF(M31="■",2,0))</f>
        <v>16:timeser_code:0</v>
      </c>
    </row>
    <row r="32" spans="1:36" s="109" customFormat="1" ht="18.75" customHeight="1" x14ac:dyDescent="0.15">
      <c r="A32" s="97"/>
      <c r="B32" s="119"/>
      <c r="C32" s="99"/>
      <c r="D32" s="197" t="s">
        <v>196</v>
      </c>
      <c r="E32" s="101" t="s">
        <v>177</v>
      </c>
      <c r="F32" s="100"/>
      <c r="G32" s="153"/>
      <c r="H32" s="205" t="s">
        <v>116</v>
      </c>
      <c r="I32" s="135" t="s">
        <v>196</v>
      </c>
      <c r="J32" s="136" t="s">
        <v>153</v>
      </c>
      <c r="K32" s="137"/>
      <c r="L32" s="139" t="s">
        <v>196</v>
      </c>
      <c r="M32" s="136" t="s">
        <v>161</v>
      </c>
      <c r="N32" s="212"/>
      <c r="O32" s="212"/>
      <c r="P32" s="212"/>
      <c r="Q32" s="212"/>
      <c r="R32" s="212"/>
      <c r="S32" s="212"/>
      <c r="T32" s="212"/>
      <c r="U32" s="212"/>
      <c r="V32" s="212"/>
      <c r="W32" s="212"/>
      <c r="X32" s="178"/>
      <c r="Y32" s="134"/>
      <c r="Z32" s="95"/>
      <c r="AA32" s="95"/>
      <c r="AB32" s="96"/>
      <c r="AC32" s="347"/>
      <c r="AD32" s="347"/>
      <c r="AE32" s="347"/>
      <c r="AF32" s="347"/>
      <c r="AI32" s="109" t="str">
        <f>"16:field188:" &amp; IF(I32="■",1,IF(L32="■",2,0))</f>
        <v>16:field188:0</v>
      </c>
    </row>
    <row r="33" spans="1:36" s="109" customFormat="1" ht="18.75" customHeight="1" x14ac:dyDescent="0.15">
      <c r="A33" s="97"/>
      <c r="B33" s="119"/>
      <c r="C33" s="99"/>
      <c r="D33" s="197" t="s">
        <v>196</v>
      </c>
      <c r="E33" s="101" t="s">
        <v>176</v>
      </c>
      <c r="F33" s="100"/>
      <c r="G33" s="153"/>
      <c r="H33" s="204" t="s">
        <v>142</v>
      </c>
      <c r="I33" s="135" t="s">
        <v>196</v>
      </c>
      <c r="J33" s="136" t="s">
        <v>153</v>
      </c>
      <c r="K33" s="136"/>
      <c r="L33" s="139" t="s">
        <v>196</v>
      </c>
      <c r="M33" s="136" t="s">
        <v>154</v>
      </c>
      <c r="N33" s="136"/>
      <c r="O33" s="139" t="s">
        <v>196</v>
      </c>
      <c r="P33" s="136" t="s">
        <v>155</v>
      </c>
      <c r="Q33" s="212"/>
      <c r="R33" s="212"/>
      <c r="S33" s="212"/>
      <c r="T33" s="212"/>
      <c r="U33" s="212"/>
      <c r="V33" s="212"/>
      <c r="W33" s="212"/>
      <c r="X33" s="178"/>
      <c r="Y33" s="134"/>
      <c r="Z33" s="95"/>
      <c r="AA33" s="95"/>
      <c r="AB33" s="96"/>
      <c r="AC33" s="347"/>
      <c r="AD33" s="347"/>
      <c r="AE33" s="347"/>
      <c r="AF33" s="347"/>
      <c r="AI33" s="109" t="str">
        <f>"16:nyukai_code:" &amp; IF(I33="■",1,IF(O33="■",3,IF(L33="■",2,0)))</f>
        <v>16:nyukai_code:0</v>
      </c>
    </row>
    <row r="34" spans="1:36" s="109" customFormat="1" ht="18.75" customHeight="1" x14ac:dyDescent="0.15">
      <c r="A34" s="97"/>
      <c r="B34" s="119"/>
      <c r="C34" s="99"/>
      <c r="D34" s="197" t="s">
        <v>196</v>
      </c>
      <c r="E34" s="101" t="s">
        <v>235</v>
      </c>
      <c r="F34" s="100"/>
      <c r="G34" s="153"/>
      <c r="H34" s="206" t="s">
        <v>115</v>
      </c>
      <c r="I34" s="207" t="s">
        <v>196</v>
      </c>
      <c r="J34" s="184" t="s">
        <v>153</v>
      </c>
      <c r="K34" s="184"/>
      <c r="L34" s="185"/>
      <c r="M34" s="186" t="s">
        <v>196</v>
      </c>
      <c r="N34" s="184" t="s">
        <v>232</v>
      </c>
      <c r="O34" s="184"/>
      <c r="P34" s="185"/>
      <c r="Q34" s="186" t="s">
        <v>196</v>
      </c>
      <c r="R34" s="187" t="s">
        <v>233</v>
      </c>
      <c r="S34" s="187"/>
      <c r="T34" s="187"/>
      <c r="U34" s="186" t="s">
        <v>196</v>
      </c>
      <c r="V34" s="187" t="s">
        <v>223</v>
      </c>
      <c r="W34" s="187"/>
      <c r="X34" s="188"/>
      <c r="Y34" s="134"/>
      <c r="Z34" s="95"/>
      <c r="AA34" s="95"/>
      <c r="AB34" s="96"/>
      <c r="AC34" s="347"/>
      <c r="AD34" s="347"/>
      <c r="AE34" s="347"/>
      <c r="AF34" s="347"/>
      <c r="AI34" s="109" t="str">
        <f>"16:field149:" &amp; IF(I34="■",1,IF(U34="■",8,IF(Q34="■",6,IF(M34="■",3,0))))</f>
        <v>16:field149:0</v>
      </c>
    </row>
    <row r="35" spans="1:36" s="109" customFormat="1" ht="19.5" customHeight="1" x14ac:dyDescent="0.15">
      <c r="A35" s="196" t="s">
        <v>196</v>
      </c>
      <c r="B35" s="119">
        <v>16</v>
      </c>
      <c r="C35" s="99" t="s">
        <v>135</v>
      </c>
      <c r="D35" s="197" t="s">
        <v>196</v>
      </c>
      <c r="E35" s="101" t="s">
        <v>236</v>
      </c>
      <c r="F35" s="102"/>
      <c r="G35" s="103"/>
      <c r="H35" s="385" t="s">
        <v>222</v>
      </c>
      <c r="I35" s="384" t="s">
        <v>196</v>
      </c>
      <c r="J35" s="379" t="s">
        <v>153</v>
      </c>
      <c r="K35" s="379"/>
      <c r="L35" s="378" t="s">
        <v>196</v>
      </c>
      <c r="M35" s="379" t="s">
        <v>161</v>
      </c>
      <c r="N35" s="379"/>
      <c r="O35" s="94"/>
      <c r="P35" s="190"/>
      <c r="Q35" s="190"/>
      <c r="R35" s="190"/>
      <c r="S35" s="146"/>
      <c r="T35" s="146"/>
      <c r="U35" s="190"/>
      <c r="V35" s="190"/>
      <c r="W35" s="146"/>
      <c r="X35" s="153"/>
      <c r="Y35" s="134"/>
      <c r="Z35" s="95"/>
      <c r="AA35" s="95"/>
      <c r="AB35" s="96"/>
      <c r="AC35" s="347"/>
      <c r="AD35" s="347"/>
      <c r="AE35" s="347"/>
      <c r="AF35" s="347"/>
      <c r="AI35" s="109" t="str">
        <f>"16:field239:" &amp; IF(I35="■",1,IF(L35="■",2,0))</f>
        <v>16:field239:0</v>
      </c>
    </row>
    <row r="36" spans="1:36" s="109" customFormat="1" ht="19.5" customHeight="1" x14ac:dyDescent="0.15">
      <c r="A36" s="97"/>
      <c r="B36" s="119"/>
      <c r="C36" s="99"/>
      <c r="D36" s="197" t="s">
        <v>196</v>
      </c>
      <c r="E36" s="101" t="s">
        <v>237</v>
      </c>
      <c r="F36" s="102"/>
      <c r="G36" s="103"/>
      <c r="H36" s="352"/>
      <c r="I36" s="354"/>
      <c r="J36" s="345"/>
      <c r="K36" s="345"/>
      <c r="L36" s="356"/>
      <c r="M36" s="345"/>
      <c r="N36" s="345"/>
      <c r="O36" s="94"/>
      <c r="P36" s="190"/>
      <c r="Q36" s="148"/>
      <c r="R36" s="148"/>
      <c r="S36" s="146"/>
      <c r="T36" s="146"/>
      <c r="U36" s="208"/>
      <c r="V36" s="148"/>
      <c r="W36" s="146"/>
      <c r="X36" s="153"/>
      <c r="Y36" s="134"/>
      <c r="Z36" s="95"/>
      <c r="AA36" s="95"/>
      <c r="AB36" s="96"/>
      <c r="AC36" s="347"/>
      <c r="AD36" s="347"/>
      <c r="AE36" s="347"/>
      <c r="AF36" s="347"/>
    </row>
    <row r="37" spans="1:36" s="109" customFormat="1" ht="18.75" customHeight="1" x14ac:dyDescent="0.15">
      <c r="A37" s="97"/>
      <c r="B37" s="119"/>
      <c r="C37" s="99"/>
      <c r="D37" s="197" t="s">
        <v>196</v>
      </c>
      <c r="E37" s="101" t="s">
        <v>229</v>
      </c>
      <c r="F37" s="100"/>
      <c r="G37" s="153"/>
      <c r="H37" s="204" t="s">
        <v>113</v>
      </c>
      <c r="I37" s="139" t="s">
        <v>196</v>
      </c>
      <c r="J37" s="136" t="s">
        <v>153</v>
      </c>
      <c r="K37" s="136"/>
      <c r="L37" s="139" t="s">
        <v>196</v>
      </c>
      <c r="M37" s="136" t="s">
        <v>154</v>
      </c>
      <c r="N37" s="136"/>
      <c r="O37" s="139" t="s">
        <v>196</v>
      </c>
      <c r="P37" s="136" t="s">
        <v>155</v>
      </c>
      <c r="Q37" s="212"/>
      <c r="R37" s="212"/>
      <c r="S37" s="212"/>
      <c r="T37" s="212"/>
      <c r="U37" s="212"/>
      <c r="V37" s="212"/>
      <c r="W37" s="212"/>
      <c r="X37" s="178"/>
      <c r="Y37" s="134"/>
      <c r="Z37" s="95"/>
      <c r="AA37" s="95"/>
      <c r="AB37" s="96"/>
      <c r="AC37" s="347"/>
      <c r="AD37" s="347"/>
      <c r="AE37" s="347"/>
      <c r="AF37" s="347"/>
      <c r="AI37" s="109" t="str">
        <f>"16:ninti_riha_code:" &amp; IF(I37="■",1,IF(L37="■",2,IF(O37="■",3,0)))</f>
        <v>16:ninti_riha_code:0</v>
      </c>
    </row>
    <row r="38" spans="1:36" s="109" customFormat="1" ht="18.75" customHeight="1" x14ac:dyDescent="0.15">
      <c r="A38" s="97"/>
      <c r="B38" s="119"/>
      <c r="C38" s="99"/>
      <c r="D38" s="197" t="s">
        <v>196</v>
      </c>
      <c r="E38" s="101" t="s">
        <v>230</v>
      </c>
      <c r="F38" s="100"/>
      <c r="G38" s="153"/>
      <c r="H38" s="204" t="s">
        <v>111</v>
      </c>
      <c r="I38" s="135" t="s">
        <v>196</v>
      </c>
      <c r="J38" s="136" t="s">
        <v>153</v>
      </c>
      <c r="K38" s="137"/>
      <c r="L38" s="139" t="s">
        <v>196</v>
      </c>
      <c r="M38" s="136" t="s">
        <v>161</v>
      </c>
      <c r="N38" s="212"/>
      <c r="O38" s="212"/>
      <c r="P38" s="212"/>
      <c r="Q38" s="212"/>
      <c r="R38" s="212"/>
      <c r="S38" s="212"/>
      <c r="T38" s="212"/>
      <c r="U38" s="212"/>
      <c r="V38" s="212"/>
      <c r="W38" s="212"/>
      <c r="X38" s="178"/>
      <c r="Y38" s="134"/>
      <c r="Z38" s="95"/>
      <c r="AA38" s="95"/>
      <c r="AB38" s="96"/>
      <c r="AC38" s="347"/>
      <c r="AD38" s="347"/>
      <c r="AE38" s="347"/>
      <c r="AF38" s="347"/>
      <c r="AI38" s="109" t="str">
        <f>"16:field157:" &amp; IF(I38="■",1,IF(L38="■",2,0))</f>
        <v>16:field157:0</v>
      </c>
    </row>
    <row r="39" spans="1:36" s="109" customFormat="1" ht="18.75" customHeight="1" x14ac:dyDescent="0.15">
      <c r="A39" s="97"/>
      <c r="B39" s="119"/>
      <c r="C39" s="99"/>
      <c r="D39" s="197" t="s">
        <v>196</v>
      </c>
      <c r="E39" s="101" t="s">
        <v>231</v>
      </c>
      <c r="F39" s="100"/>
      <c r="G39" s="153"/>
      <c r="H39" s="203" t="s">
        <v>97</v>
      </c>
      <c r="I39" s="139" t="s">
        <v>196</v>
      </c>
      <c r="J39" s="136" t="s">
        <v>153</v>
      </c>
      <c r="K39" s="137"/>
      <c r="L39" s="139" t="s">
        <v>196</v>
      </c>
      <c r="M39" s="136" t="s">
        <v>161</v>
      </c>
      <c r="N39" s="212"/>
      <c r="O39" s="212"/>
      <c r="P39" s="212"/>
      <c r="Q39" s="212"/>
      <c r="R39" s="212"/>
      <c r="S39" s="212"/>
      <c r="T39" s="212"/>
      <c r="U39" s="212"/>
      <c r="V39" s="212"/>
      <c r="W39" s="212"/>
      <c r="X39" s="178"/>
      <c r="Y39" s="134"/>
      <c r="Z39" s="95"/>
      <c r="AA39" s="95"/>
      <c r="AB39" s="96"/>
      <c r="AC39" s="347"/>
      <c r="AD39" s="347"/>
      <c r="AE39" s="347"/>
      <c r="AF39" s="347"/>
      <c r="AI39" s="109" t="str">
        <f>"16:jyakuninti_uke_code:" &amp; IF(I39="■",1,IF(L39="■",2,0))</f>
        <v>16:jyakuninti_uke_code:0</v>
      </c>
    </row>
    <row r="40" spans="1:36" s="109" customFormat="1" ht="18.75" customHeight="1" x14ac:dyDescent="0.15">
      <c r="A40" s="97"/>
      <c r="B40" s="119"/>
      <c r="C40" s="99"/>
      <c r="D40" s="100"/>
      <c r="E40" s="101"/>
      <c r="F40" s="100"/>
      <c r="G40" s="153"/>
      <c r="H40" s="209" t="s">
        <v>143</v>
      </c>
      <c r="I40" s="139" t="s">
        <v>196</v>
      </c>
      <c r="J40" s="136" t="s">
        <v>153</v>
      </c>
      <c r="K40" s="137"/>
      <c r="L40" s="139" t="s">
        <v>196</v>
      </c>
      <c r="M40" s="136" t="s">
        <v>161</v>
      </c>
      <c r="N40" s="212"/>
      <c r="O40" s="212"/>
      <c r="P40" s="212"/>
      <c r="Q40" s="212"/>
      <c r="R40" s="212"/>
      <c r="S40" s="212"/>
      <c r="T40" s="212"/>
      <c r="U40" s="212"/>
      <c r="V40" s="212"/>
      <c r="W40" s="212"/>
      <c r="X40" s="178"/>
      <c r="Y40" s="134"/>
      <c r="Z40" s="95"/>
      <c r="AA40" s="95"/>
      <c r="AB40" s="96"/>
      <c r="AC40" s="347"/>
      <c r="AD40" s="347"/>
      <c r="AE40" s="347"/>
      <c r="AF40" s="347"/>
      <c r="AI40" s="109" t="str">
        <f>"16:eiyomana_code:" &amp; IF(I40="■",1,IF(L40="■",2,0))</f>
        <v>16:eiyomana_code:0</v>
      </c>
    </row>
    <row r="41" spans="1:36" s="109" customFormat="1" ht="18.75" customHeight="1" x14ac:dyDescent="0.15">
      <c r="A41" s="97"/>
      <c r="B41" s="119"/>
      <c r="C41" s="99"/>
      <c r="D41" s="100"/>
      <c r="E41" s="101"/>
      <c r="F41" s="100"/>
      <c r="G41" s="153"/>
      <c r="H41" s="204" t="s">
        <v>132</v>
      </c>
      <c r="I41" s="139" t="s">
        <v>196</v>
      </c>
      <c r="J41" s="136" t="s">
        <v>153</v>
      </c>
      <c r="K41" s="137"/>
      <c r="L41" s="139" t="s">
        <v>196</v>
      </c>
      <c r="M41" s="136" t="s">
        <v>161</v>
      </c>
      <c r="N41" s="212"/>
      <c r="O41" s="212"/>
      <c r="P41" s="212"/>
      <c r="Q41" s="212"/>
      <c r="R41" s="212"/>
      <c r="S41" s="212"/>
      <c r="T41" s="212"/>
      <c r="U41" s="212"/>
      <c r="V41" s="212"/>
      <c r="W41" s="212"/>
      <c r="X41" s="178"/>
      <c r="Y41" s="134"/>
      <c r="Z41" s="95"/>
      <c r="AA41" s="95"/>
      <c r="AB41" s="96"/>
      <c r="AC41" s="347"/>
      <c r="AD41" s="347"/>
      <c r="AE41" s="347"/>
      <c r="AF41" s="347"/>
      <c r="AI41" s="109" t="str">
        <f>"16:koukoukino_code:" &amp; IF(I41="■",1,IF(L41="■",2,0))</f>
        <v>16:koukoukino_code:0</v>
      </c>
    </row>
    <row r="42" spans="1:36" s="109" customFormat="1" ht="18.75" customHeight="1" x14ac:dyDescent="0.15">
      <c r="A42" s="97"/>
      <c r="B42" s="119"/>
      <c r="C42" s="99"/>
      <c r="D42" s="100"/>
      <c r="E42" s="101"/>
      <c r="F42" s="100"/>
      <c r="G42" s="153"/>
      <c r="H42" s="203" t="s">
        <v>123</v>
      </c>
      <c r="I42" s="139" t="s">
        <v>196</v>
      </c>
      <c r="J42" s="136" t="s">
        <v>153</v>
      </c>
      <c r="K42" s="137"/>
      <c r="L42" s="139" t="s">
        <v>196</v>
      </c>
      <c r="M42" s="136" t="s">
        <v>161</v>
      </c>
      <c r="N42" s="212"/>
      <c r="O42" s="212"/>
      <c r="P42" s="212"/>
      <c r="Q42" s="212"/>
      <c r="R42" s="212"/>
      <c r="S42" s="212"/>
      <c r="T42" s="212"/>
      <c r="U42" s="212"/>
      <c r="V42" s="212"/>
      <c r="W42" s="212"/>
      <c r="X42" s="178"/>
      <c r="Y42" s="134"/>
      <c r="Z42" s="95"/>
      <c r="AA42" s="95"/>
      <c r="AB42" s="96"/>
      <c r="AC42" s="347"/>
      <c r="AD42" s="347"/>
      <c r="AE42" s="347"/>
      <c r="AF42" s="347"/>
      <c r="AI42" s="109" t="str">
        <f>"16:field153:" &amp; IF(I42="■",1,IF(L42="■",2,0))</f>
        <v>16:field153:0</v>
      </c>
    </row>
    <row r="43" spans="1:36" s="109" customFormat="1" ht="18.75" customHeight="1" x14ac:dyDescent="0.15">
      <c r="A43" s="97"/>
      <c r="B43" s="119"/>
      <c r="C43" s="99"/>
      <c r="D43" s="100"/>
      <c r="E43" s="101"/>
      <c r="F43" s="100"/>
      <c r="G43" s="153"/>
      <c r="H43" s="204" t="s">
        <v>127</v>
      </c>
      <c r="I43" s="139" t="s">
        <v>196</v>
      </c>
      <c r="J43" s="136" t="s">
        <v>153</v>
      </c>
      <c r="K43" s="137"/>
      <c r="L43" s="139" t="s">
        <v>196</v>
      </c>
      <c r="M43" s="136" t="s">
        <v>161</v>
      </c>
      <c r="N43" s="212"/>
      <c r="O43" s="212"/>
      <c r="P43" s="212"/>
      <c r="Q43" s="212"/>
      <c r="R43" s="212"/>
      <c r="S43" s="212"/>
      <c r="T43" s="212"/>
      <c r="U43" s="212"/>
      <c r="V43" s="212"/>
      <c r="W43" s="212"/>
      <c r="X43" s="178"/>
      <c r="Y43" s="134"/>
      <c r="Z43" s="95"/>
      <c r="AA43" s="95"/>
      <c r="AB43" s="96"/>
      <c r="AC43" s="347"/>
      <c r="AD43" s="347"/>
      <c r="AE43" s="347"/>
      <c r="AF43" s="347"/>
      <c r="AI43" s="109" t="str">
        <f>"16:field212:" &amp; IF(I43="■",1,IF(L43="■",2,0))</f>
        <v>16:field212:0</v>
      </c>
    </row>
    <row r="44" spans="1:36" s="109" customFormat="1" ht="18.75" customHeight="1" x14ac:dyDescent="0.15">
      <c r="A44" s="97"/>
      <c r="B44" s="119"/>
      <c r="C44" s="99"/>
      <c r="D44" s="100"/>
      <c r="E44" s="101"/>
      <c r="F44" s="100"/>
      <c r="G44" s="153"/>
      <c r="H44" s="204" t="s">
        <v>141</v>
      </c>
      <c r="I44" s="139" t="s">
        <v>196</v>
      </c>
      <c r="J44" s="136" t="s">
        <v>153</v>
      </c>
      <c r="K44" s="137"/>
      <c r="L44" s="139" t="s">
        <v>196</v>
      </c>
      <c r="M44" s="136" t="s">
        <v>161</v>
      </c>
      <c r="N44" s="212"/>
      <c r="O44" s="212"/>
      <c r="P44" s="212"/>
      <c r="Q44" s="212"/>
      <c r="R44" s="212"/>
      <c r="S44" s="212"/>
      <c r="T44" s="212"/>
      <c r="U44" s="212"/>
      <c r="V44" s="212"/>
      <c r="W44" s="212"/>
      <c r="X44" s="178"/>
      <c r="Y44" s="134"/>
      <c r="Z44" s="95"/>
      <c r="AA44" s="95"/>
      <c r="AB44" s="96"/>
      <c r="AC44" s="347"/>
      <c r="AD44" s="347"/>
      <c r="AE44" s="347"/>
      <c r="AF44" s="347"/>
      <c r="AI44" s="109" t="str">
        <f>"16:field150:" &amp; IF(I44="■",1,IF(L44="■",2,0))</f>
        <v>16:field150:0</v>
      </c>
    </row>
    <row r="45" spans="1:36" s="109" customFormat="1" ht="18.75" customHeight="1" x14ac:dyDescent="0.15">
      <c r="A45" s="97"/>
      <c r="B45" s="119"/>
      <c r="C45" s="99"/>
      <c r="D45" s="100"/>
      <c r="E45" s="101"/>
      <c r="F45" s="100"/>
      <c r="G45" s="153"/>
      <c r="H45" s="203" t="s">
        <v>103</v>
      </c>
      <c r="I45" s="139" t="s">
        <v>196</v>
      </c>
      <c r="J45" s="136" t="s">
        <v>153</v>
      </c>
      <c r="K45" s="136"/>
      <c r="L45" s="139" t="s">
        <v>196</v>
      </c>
      <c r="M45" s="136" t="s">
        <v>174</v>
      </c>
      <c r="N45" s="136"/>
      <c r="O45" s="139" t="s">
        <v>196</v>
      </c>
      <c r="P45" s="136" t="s">
        <v>164</v>
      </c>
      <c r="Q45" s="136"/>
      <c r="R45" s="139" t="s">
        <v>196</v>
      </c>
      <c r="S45" s="136" t="s">
        <v>175</v>
      </c>
      <c r="T45" s="212"/>
      <c r="U45" s="212"/>
      <c r="V45" s="212"/>
      <c r="W45" s="212"/>
      <c r="X45" s="178"/>
      <c r="Y45" s="134"/>
      <c r="Z45" s="95"/>
      <c r="AA45" s="95"/>
      <c r="AB45" s="96"/>
      <c r="AC45" s="347"/>
      <c r="AD45" s="347"/>
      <c r="AE45" s="347"/>
      <c r="AF45" s="347"/>
      <c r="AI45" s="109" t="str">
        <f>"16:serteikyo_kyoka_code:" &amp; IF(I45="■",1,IF(L45="■",5,IF(O45="■",4,IF(R45="■",6,0))))</f>
        <v>16:serteikyo_kyoka_code:0</v>
      </c>
    </row>
    <row r="46" spans="1:36" s="109" customFormat="1" ht="18.75" customHeight="1" x14ac:dyDescent="0.15">
      <c r="A46" s="156"/>
      <c r="B46" s="231"/>
      <c r="C46" s="158"/>
      <c r="D46" s="159"/>
      <c r="E46" s="160"/>
      <c r="F46" s="161"/>
      <c r="G46" s="162"/>
      <c r="H46" s="85" t="s">
        <v>234</v>
      </c>
      <c r="I46" s="163" t="s">
        <v>196</v>
      </c>
      <c r="J46" s="86" t="s">
        <v>153</v>
      </c>
      <c r="K46" s="86"/>
      <c r="L46" s="164" t="s">
        <v>196</v>
      </c>
      <c r="M46" s="86" t="s">
        <v>218</v>
      </c>
      <c r="N46" s="87"/>
      <c r="O46" s="164" t="s">
        <v>196</v>
      </c>
      <c r="P46" s="89" t="s">
        <v>219</v>
      </c>
      <c r="Q46" s="88"/>
      <c r="R46" s="164" t="s">
        <v>196</v>
      </c>
      <c r="S46" s="86" t="s">
        <v>220</v>
      </c>
      <c r="T46" s="88"/>
      <c r="U46" s="164" t="s">
        <v>196</v>
      </c>
      <c r="V46" s="86" t="s">
        <v>221</v>
      </c>
      <c r="W46" s="90"/>
      <c r="X46" s="91"/>
      <c r="Y46" s="165"/>
      <c r="Z46" s="165"/>
      <c r="AA46" s="165"/>
      <c r="AB46" s="166"/>
      <c r="AC46" s="348"/>
      <c r="AD46" s="348"/>
      <c r="AE46" s="348"/>
      <c r="AF46" s="348"/>
      <c r="AI46" s="109" t="str">
        <f>"16:shoguukaizen_code:"&amp;IF(I46="■",1,IF(L46="■",7,IF(O46="■",8,IF(R46="■",9,IF(U46="■","A",0)))))</f>
        <v>16:shoguukaizen_code:0</v>
      </c>
    </row>
    <row r="47" spans="1:36" s="109" customFormat="1" ht="18.75" customHeight="1" x14ac:dyDescent="0.15">
      <c r="A47" s="122"/>
      <c r="B47" s="123"/>
      <c r="C47" s="124"/>
      <c r="D47" s="125"/>
      <c r="E47" s="117"/>
      <c r="F47" s="126"/>
      <c r="G47" s="117"/>
      <c r="H47" s="216" t="s">
        <v>92</v>
      </c>
      <c r="I47" s="167" t="s">
        <v>196</v>
      </c>
      <c r="J47" s="168" t="s">
        <v>179</v>
      </c>
      <c r="K47" s="169"/>
      <c r="L47" s="170"/>
      <c r="M47" s="171" t="s">
        <v>196</v>
      </c>
      <c r="N47" s="168" t="s">
        <v>180</v>
      </c>
      <c r="O47" s="172"/>
      <c r="P47" s="172"/>
      <c r="Q47" s="172"/>
      <c r="R47" s="172"/>
      <c r="S47" s="172"/>
      <c r="T47" s="172"/>
      <c r="U47" s="172"/>
      <c r="V47" s="172"/>
      <c r="W47" s="172"/>
      <c r="X47" s="173"/>
      <c r="Y47" s="225" t="s">
        <v>196</v>
      </c>
      <c r="Z47" s="115" t="s">
        <v>152</v>
      </c>
      <c r="AA47" s="115"/>
      <c r="AB47" s="128"/>
      <c r="AC47" s="346"/>
      <c r="AD47" s="346"/>
      <c r="AE47" s="346"/>
      <c r="AF47" s="346"/>
      <c r="AG47" s="109" t="str">
        <f>"ser_code = '" &amp; IF(A57="■",22,"") &amp; "'"</f>
        <v>ser_code = ''</v>
      </c>
      <c r="AH47" s="109" t="str">
        <f>"22:jininkbn_code:" &amp; IF(F57="■",1,IF(F58="■",2,0))</f>
        <v>22:jininkbn_code:0</v>
      </c>
      <c r="AI47" s="109" t="str">
        <f>"22:yakan_kinmu_code:" &amp; IF(I47="■",1,IF(M47="■",6,0))</f>
        <v>22:yakan_kinmu_code:0</v>
      </c>
      <c r="AJ47" s="109" t="str">
        <f>"22:field203:" &amp; IF(Y47="■",1,IF(Y48="■",2,0))</f>
        <v>22:field203:0</v>
      </c>
    </row>
    <row r="48" spans="1:36" s="109" customFormat="1" ht="18.75" customHeight="1" x14ac:dyDescent="0.15">
      <c r="A48" s="97"/>
      <c r="B48" s="119"/>
      <c r="C48" s="99"/>
      <c r="D48" s="100"/>
      <c r="E48" s="101"/>
      <c r="F48" s="102"/>
      <c r="G48" s="101"/>
      <c r="H48" s="386" t="s">
        <v>89</v>
      </c>
      <c r="I48" s="175" t="s">
        <v>196</v>
      </c>
      <c r="J48" s="147" t="s">
        <v>153</v>
      </c>
      <c r="K48" s="147"/>
      <c r="L48" s="183"/>
      <c r="M48" s="189" t="s">
        <v>196</v>
      </c>
      <c r="N48" s="147" t="s">
        <v>168</v>
      </c>
      <c r="O48" s="147"/>
      <c r="P48" s="183"/>
      <c r="Q48" s="189" t="s">
        <v>196</v>
      </c>
      <c r="R48" s="179" t="s">
        <v>169</v>
      </c>
      <c r="S48" s="179"/>
      <c r="T48" s="179"/>
      <c r="U48" s="189" t="s">
        <v>196</v>
      </c>
      <c r="V48" s="179" t="s">
        <v>170</v>
      </c>
      <c r="W48" s="179"/>
      <c r="X48" s="228"/>
      <c r="Y48" s="197" t="s">
        <v>196</v>
      </c>
      <c r="Z48" s="94" t="s">
        <v>156</v>
      </c>
      <c r="AA48" s="95"/>
      <c r="AB48" s="96"/>
      <c r="AC48" s="347"/>
      <c r="AD48" s="347"/>
      <c r="AE48" s="347"/>
      <c r="AF48" s="347"/>
      <c r="AG48" s="109" t="str">
        <f>"22:sisetukbn_code:" &amp; IF(D57="■",1,0)</f>
        <v>22:sisetukbn_code:0</v>
      </c>
      <c r="AI48" s="109" t="str">
        <f>"22:"&amp;IF(AND(I48="□",M48="□",Q48="□",U48="□",I49="□",M49="□",Q49="□"),"ketu_doctor_code:0",IF(I48="■","ketu_doctor_code:1:ketu_kangos_code:1:ketu_kshoku_code:1:ketu_rryoho_code:1:ketu_sryoho_code:1:ketu_gengo_code:1",
IF(M48="■","ketu_doctor_code:2","ketu_doctor_code:1")
&amp;IF(Q48="■",":ketu_kangos_code:2",":ketu_kangos_code:1")
&amp;IF(U48="■",":ketu_kshoku_code:2",":ketu_kshoku_code:1")
&amp;IF(I49="■",":ketu_rryoho_code:2",":ketu_rryoho_code:1")
&amp;IF(M49="■",":ketu_sryoho_code:2",":ketu_sryoho_code:1")
&amp;IF(Q49="■",":ketu_gengo_code:2",":ketu_gengo_code:1")))</f>
        <v>22:ketu_doctor_code:0</v>
      </c>
    </row>
    <row r="49" spans="1:38" s="109" customFormat="1" ht="18.75" customHeight="1" x14ac:dyDescent="0.15">
      <c r="A49" s="97"/>
      <c r="B49" s="119"/>
      <c r="C49" s="99"/>
      <c r="D49" s="100"/>
      <c r="E49" s="101"/>
      <c r="F49" s="102"/>
      <c r="G49" s="101"/>
      <c r="H49" s="387"/>
      <c r="I49" s="152" t="s">
        <v>196</v>
      </c>
      <c r="J49" s="105" t="s">
        <v>171</v>
      </c>
      <c r="K49" s="105"/>
      <c r="L49" s="106"/>
      <c r="M49" s="191" t="s">
        <v>196</v>
      </c>
      <c r="N49" s="105" t="s">
        <v>172</v>
      </c>
      <c r="O49" s="105"/>
      <c r="P49" s="106"/>
      <c r="Q49" s="191" t="s">
        <v>196</v>
      </c>
      <c r="R49" s="148" t="s">
        <v>173</v>
      </c>
      <c r="S49" s="148"/>
      <c r="T49" s="148"/>
      <c r="U49" s="148"/>
      <c r="V49" s="148"/>
      <c r="W49" s="148"/>
      <c r="X49" s="229"/>
      <c r="Y49" s="95"/>
      <c r="Z49" s="95"/>
      <c r="AA49" s="95"/>
      <c r="AB49" s="96"/>
      <c r="AC49" s="347"/>
      <c r="AD49" s="347"/>
      <c r="AE49" s="347"/>
      <c r="AF49" s="347"/>
    </row>
    <row r="50" spans="1:38" s="109" customFormat="1" ht="18.75" customHeight="1" x14ac:dyDescent="0.15">
      <c r="A50" s="97"/>
      <c r="B50" s="119"/>
      <c r="C50" s="99"/>
      <c r="D50" s="100"/>
      <c r="E50" s="101"/>
      <c r="F50" s="102"/>
      <c r="G50" s="101"/>
      <c r="H50" s="217" t="s">
        <v>93</v>
      </c>
      <c r="I50" s="135" t="s">
        <v>196</v>
      </c>
      <c r="J50" s="136" t="s">
        <v>159</v>
      </c>
      <c r="K50" s="137"/>
      <c r="L50" s="138"/>
      <c r="M50" s="139" t="s">
        <v>196</v>
      </c>
      <c r="N50" s="136" t="s">
        <v>160</v>
      </c>
      <c r="O50" s="141"/>
      <c r="P50" s="141"/>
      <c r="Q50" s="141"/>
      <c r="R50" s="141"/>
      <c r="S50" s="141"/>
      <c r="T50" s="141"/>
      <c r="U50" s="141"/>
      <c r="V50" s="141"/>
      <c r="W50" s="141"/>
      <c r="X50" s="142"/>
      <c r="Y50" s="95"/>
      <c r="Z50" s="95"/>
      <c r="AA50" s="95"/>
      <c r="AB50" s="96"/>
      <c r="AC50" s="347"/>
      <c r="AD50" s="347"/>
      <c r="AE50" s="347"/>
      <c r="AF50" s="347"/>
      <c r="AI50" s="109" t="str">
        <f>"22:unitcare_code:" &amp; IF(I50="■",1,IF(M50="■",2,0))</f>
        <v>22:unitcare_code:0</v>
      </c>
    </row>
    <row r="51" spans="1:38" s="109" customFormat="1" ht="18.75" customHeight="1" x14ac:dyDescent="0.15">
      <c r="A51" s="97"/>
      <c r="B51" s="119"/>
      <c r="C51" s="210"/>
      <c r="D51" s="211"/>
      <c r="E51" s="101"/>
      <c r="F51" s="102"/>
      <c r="G51" s="103"/>
      <c r="H51" s="203" t="s">
        <v>96</v>
      </c>
      <c r="I51" s="135" t="s">
        <v>196</v>
      </c>
      <c r="J51" s="136" t="s">
        <v>197</v>
      </c>
      <c r="K51" s="137"/>
      <c r="L51" s="138"/>
      <c r="M51" s="139" t="s">
        <v>196</v>
      </c>
      <c r="N51" s="136" t="s">
        <v>198</v>
      </c>
      <c r="O51" s="137"/>
      <c r="P51" s="137"/>
      <c r="Q51" s="137"/>
      <c r="R51" s="137"/>
      <c r="S51" s="137"/>
      <c r="T51" s="137"/>
      <c r="U51" s="137"/>
      <c r="V51" s="137"/>
      <c r="W51" s="137"/>
      <c r="X51" s="145"/>
      <c r="Y51" s="134"/>
      <c r="Z51" s="95"/>
      <c r="AA51" s="95"/>
      <c r="AB51" s="96"/>
      <c r="AC51" s="347"/>
      <c r="AD51" s="347"/>
      <c r="AE51" s="347"/>
      <c r="AF51" s="347"/>
      <c r="AI51" s="109" t="str">
        <f>"22:sintaikousoku_code:" &amp; IF(I51="■",1,IF(M51="■",2,0))</f>
        <v>22:sintaikousoku_code:0</v>
      </c>
    </row>
    <row r="52" spans="1:38" s="109" customFormat="1" ht="19.5" customHeight="1" x14ac:dyDescent="0.15">
      <c r="A52" s="97"/>
      <c r="B52" s="119"/>
      <c r="C52" s="99"/>
      <c r="D52" s="100"/>
      <c r="E52" s="101"/>
      <c r="F52" s="102"/>
      <c r="G52" s="103"/>
      <c r="H52" s="104" t="s">
        <v>215</v>
      </c>
      <c r="I52" s="135" t="s">
        <v>196</v>
      </c>
      <c r="J52" s="136" t="s">
        <v>197</v>
      </c>
      <c r="K52" s="137"/>
      <c r="L52" s="138"/>
      <c r="M52" s="139" t="s">
        <v>196</v>
      </c>
      <c r="N52" s="136" t="s">
        <v>216</v>
      </c>
      <c r="O52" s="140"/>
      <c r="P52" s="136"/>
      <c r="Q52" s="141"/>
      <c r="R52" s="141"/>
      <c r="S52" s="141"/>
      <c r="T52" s="141"/>
      <c r="U52" s="141"/>
      <c r="V52" s="141"/>
      <c r="W52" s="141"/>
      <c r="X52" s="142"/>
      <c r="Y52" s="95"/>
      <c r="Z52" s="95"/>
      <c r="AA52" s="95"/>
      <c r="AB52" s="96"/>
      <c r="AC52" s="347"/>
      <c r="AD52" s="347"/>
      <c r="AE52" s="347"/>
      <c r="AF52" s="347"/>
      <c r="AI52" s="109" t="str">
        <f>"22:field223:" &amp; IF(I52="■",1,IF(M52="■",2,0))</f>
        <v>22:field223:0</v>
      </c>
    </row>
    <row r="53" spans="1:38" s="109" customFormat="1" ht="19.5" customHeight="1" x14ac:dyDescent="0.15">
      <c r="A53" s="97"/>
      <c r="B53" s="119"/>
      <c r="C53" s="99"/>
      <c r="D53" s="100"/>
      <c r="E53" s="101"/>
      <c r="F53" s="102"/>
      <c r="G53" s="103"/>
      <c r="H53" s="104" t="s">
        <v>226</v>
      </c>
      <c r="I53" s="135" t="s">
        <v>196</v>
      </c>
      <c r="J53" s="136" t="s">
        <v>197</v>
      </c>
      <c r="K53" s="137"/>
      <c r="L53" s="138"/>
      <c r="M53" s="139" t="s">
        <v>196</v>
      </c>
      <c r="N53" s="136" t="s">
        <v>216</v>
      </c>
      <c r="O53" s="140"/>
      <c r="P53" s="136"/>
      <c r="Q53" s="141"/>
      <c r="R53" s="141"/>
      <c r="S53" s="141"/>
      <c r="T53" s="141"/>
      <c r="U53" s="141"/>
      <c r="V53" s="141"/>
      <c r="W53" s="141"/>
      <c r="X53" s="142"/>
      <c r="Y53" s="95"/>
      <c r="Z53" s="95"/>
      <c r="AA53" s="95"/>
      <c r="AB53" s="96"/>
      <c r="AC53" s="347"/>
      <c r="AD53" s="347"/>
      <c r="AE53" s="347"/>
      <c r="AF53" s="347"/>
      <c r="AI53" s="109" t="str">
        <f>"22:field232:" &amp; IF(I53="■",1,IF(M53="■",2,0))</f>
        <v>22:field232:0</v>
      </c>
    </row>
    <row r="54" spans="1:38" ht="19.5" customHeight="1" x14ac:dyDescent="0.15">
      <c r="A54" s="97"/>
      <c r="B54" s="119"/>
      <c r="C54" s="99"/>
      <c r="D54" s="100"/>
      <c r="E54" s="101"/>
      <c r="F54" s="102"/>
      <c r="G54" s="103"/>
      <c r="H54" s="104" t="s">
        <v>251</v>
      </c>
      <c r="I54" s="135" t="s">
        <v>196</v>
      </c>
      <c r="J54" s="105" t="s">
        <v>249</v>
      </c>
      <c r="K54" s="154"/>
      <c r="L54" s="106"/>
      <c r="M54" s="139" t="s">
        <v>196</v>
      </c>
      <c r="N54" s="105" t="s">
        <v>250</v>
      </c>
      <c r="O54" s="208"/>
      <c r="P54" s="105"/>
      <c r="Q54" s="132"/>
      <c r="R54" s="132"/>
      <c r="S54" s="132"/>
      <c r="T54" s="132"/>
      <c r="U54" s="132"/>
      <c r="V54" s="132"/>
      <c r="W54" s="132"/>
      <c r="X54" s="133"/>
      <c r="Y54" s="150"/>
      <c r="Z54" s="94"/>
      <c r="AA54" s="95"/>
      <c r="AB54" s="96"/>
      <c r="AC54" s="347"/>
      <c r="AD54" s="347"/>
      <c r="AE54" s="347"/>
      <c r="AF54" s="347"/>
      <c r="AG54" s="146"/>
      <c r="AH54" s="146"/>
      <c r="AI54" s="109" t="str">
        <f>"22:field242:" &amp; IF(I54="■",1,IF(M54="■",2,0))</f>
        <v>22:field242:0</v>
      </c>
      <c r="AJ54" s="146"/>
      <c r="AK54" s="146"/>
      <c r="AL54" s="146"/>
    </row>
    <row r="55" spans="1:38" s="109" customFormat="1" ht="18.75" customHeight="1" x14ac:dyDescent="0.15">
      <c r="A55" s="97"/>
      <c r="B55" s="119"/>
      <c r="C55" s="99"/>
      <c r="D55" s="100"/>
      <c r="E55" s="101"/>
      <c r="F55" s="102"/>
      <c r="G55" s="101"/>
      <c r="H55" s="217" t="s">
        <v>98</v>
      </c>
      <c r="I55" s="135" t="s">
        <v>196</v>
      </c>
      <c r="J55" s="136" t="s">
        <v>153</v>
      </c>
      <c r="K55" s="137"/>
      <c r="L55" s="139" t="s">
        <v>196</v>
      </c>
      <c r="M55" s="136" t="s">
        <v>161</v>
      </c>
      <c r="N55" s="141"/>
      <c r="O55" s="141"/>
      <c r="P55" s="141"/>
      <c r="Q55" s="141"/>
      <c r="R55" s="141"/>
      <c r="S55" s="141"/>
      <c r="T55" s="141"/>
      <c r="U55" s="141"/>
      <c r="V55" s="141"/>
      <c r="W55" s="141"/>
      <c r="X55" s="142"/>
      <c r="Y55" s="95"/>
      <c r="Z55" s="95"/>
      <c r="AA55" s="95"/>
      <c r="AB55" s="96"/>
      <c r="AC55" s="347"/>
      <c r="AD55" s="347"/>
      <c r="AE55" s="347"/>
      <c r="AF55" s="347"/>
      <c r="AI55" s="109" t="str">
        <f>"22:yakinhaiti_code:" &amp; IF(I55="■",1,IF(L55="■",2,0))</f>
        <v>22:yakinhaiti_code:0</v>
      </c>
    </row>
    <row r="56" spans="1:38" s="109" customFormat="1" ht="18.75" customHeight="1" x14ac:dyDescent="0.15">
      <c r="A56" s="97"/>
      <c r="B56" s="119"/>
      <c r="C56" s="99"/>
      <c r="D56" s="100"/>
      <c r="E56" s="101"/>
      <c r="F56" s="102"/>
      <c r="G56" s="101"/>
      <c r="H56" s="217" t="s">
        <v>94</v>
      </c>
      <c r="I56" s="135" t="s">
        <v>196</v>
      </c>
      <c r="J56" s="136" t="s">
        <v>153</v>
      </c>
      <c r="K56" s="137"/>
      <c r="L56" s="139" t="s">
        <v>196</v>
      </c>
      <c r="M56" s="136" t="s">
        <v>161</v>
      </c>
      <c r="N56" s="141"/>
      <c r="O56" s="141"/>
      <c r="P56" s="141"/>
      <c r="Q56" s="141"/>
      <c r="R56" s="141"/>
      <c r="S56" s="141"/>
      <c r="T56" s="141"/>
      <c r="U56" s="141"/>
      <c r="V56" s="141"/>
      <c r="W56" s="141"/>
      <c r="X56" s="142"/>
      <c r="Y56" s="95"/>
      <c r="Z56" s="95"/>
      <c r="AA56" s="95"/>
      <c r="AB56" s="96"/>
      <c r="AC56" s="347"/>
      <c r="AD56" s="347"/>
      <c r="AE56" s="347"/>
      <c r="AF56" s="347"/>
      <c r="AI56" s="109" t="str">
        <f>"22:ninticare_code:" &amp; IF(I56="■",1,IF(L56="■",2,0))</f>
        <v>22:ninticare_code:0</v>
      </c>
    </row>
    <row r="57" spans="1:38" s="109" customFormat="1" ht="18.75" customHeight="1" x14ac:dyDescent="0.15">
      <c r="A57" s="196" t="s">
        <v>196</v>
      </c>
      <c r="B57" s="119">
        <v>22</v>
      </c>
      <c r="C57" s="99" t="s">
        <v>125</v>
      </c>
      <c r="D57" s="197" t="s">
        <v>196</v>
      </c>
      <c r="E57" s="101" t="s">
        <v>183</v>
      </c>
      <c r="F57" s="197" t="s">
        <v>196</v>
      </c>
      <c r="G57" s="101" t="s">
        <v>181</v>
      </c>
      <c r="H57" s="217" t="s">
        <v>97</v>
      </c>
      <c r="I57" s="135" t="s">
        <v>196</v>
      </c>
      <c r="J57" s="136" t="s">
        <v>153</v>
      </c>
      <c r="K57" s="137"/>
      <c r="L57" s="139" t="s">
        <v>196</v>
      </c>
      <c r="M57" s="136" t="s">
        <v>161</v>
      </c>
      <c r="N57" s="141"/>
      <c r="O57" s="141"/>
      <c r="P57" s="141"/>
      <c r="Q57" s="141"/>
      <c r="R57" s="141"/>
      <c r="S57" s="141"/>
      <c r="T57" s="141"/>
      <c r="U57" s="141"/>
      <c r="V57" s="141"/>
      <c r="W57" s="141"/>
      <c r="X57" s="142"/>
      <c r="Y57" s="95"/>
      <c r="Z57" s="95"/>
      <c r="AA57" s="95"/>
      <c r="AB57" s="96"/>
      <c r="AC57" s="347"/>
      <c r="AD57" s="347"/>
      <c r="AE57" s="347"/>
      <c r="AF57" s="347"/>
      <c r="AI57" s="109" t="str">
        <f>"22:jyakuninti_uke_code:" &amp; IF(I57="■",1,IF(L57="■",2,0))</f>
        <v>22:jyakuninti_uke_code:0</v>
      </c>
    </row>
    <row r="58" spans="1:38" s="109" customFormat="1" ht="18.75" customHeight="1" x14ac:dyDescent="0.15">
      <c r="A58" s="97"/>
      <c r="B58" s="119"/>
      <c r="C58" s="99"/>
      <c r="D58" s="102"/>
      <c r="E58" s="101"/>
      <c r="F58" s="197" t="s">
        <v>196</v>
      </c>
      <c r="G58" s="101" t="s">
        <v>182</v>
      </c>
      <c r="H58" s="217" t="s">
        <v>136</v>
      </c>
      <c r="I58" s="135" t="s">
        <v>196</v>
      </c>
      <c r="J58" s="136" t="s">
        <v>153</v>
      </c>
      <c r="K58" s="136"/>
      <c r="L58" s="139" t="s">
        <v>196</v>
      </c>
      <c r="M58" s="136" t="s">
        <v>154</v>
      </c>
      <c r="N58" s="136"/>
      <c r="O58" s="139" t="s">
        <v>196</v>
      </c>
      <c r="P58" s="136" t="s">
        <v>155</v>
      </c>
      <c r="Q58" s="141"/>
      <c r="R58" s="141"/>
      <c r="S58" s="141"/>
      <c r="T58" s="141"/>
      <c r="U58" s="141"/>
      <c r="V58" s="141"/>
      <c r="W58" s="141"/>
      <c r="X58" s="142"/>
      <c r="Y58" s="95"/>
      <c r="Z58" s="95"/>
      <c r="AA58" s="95"/>
      <c r="AB58" s="96"/>
      <c r="AC58" s="347"/>
      <c r="AD58" s="347"/>
      <c r="AE58" s="347"/>
      <c r="AF58" s="347"/>
      <c r="AI58" s="109" t="str">
        <f>"22:zaitaku_hukki_code:" &amp; IF(I58="■",1,IF(L58="■",2,IF(O58="■",3,0)))</f>
        <v>22:zaitaku_hukki_code:0</v>
      </c>
    </row>
    <row r="59" spans="1:38" s="109" customFormat="1" ht="18.75" customHeight="1" x14ac:dyDescent="0.15">
      <c r="A59" s="97"/>
      <c r="B59" s="119"/>
      <c r="C59" s="99"/>
      <c r="D59" s="100"/>
      <c r="E59" s="101"/>
      <c r="F59" s="102"/>
      <c r="G59" s="101"/>
      <c r="H59" s="217" t="s">
        <v>90</v>
      </c>
      <c r="I59" s="135" t="s">
        <v>196</v>
      </c>
      <c r="J59" s="136" t="s">
        <v>159</v>
      </c>
      <c r="K59" s="137"/>
      <c r="L59" s="138"/>
      <c r="M59" s="139" t="s">
        <v>196</v>
      </c>
      <c r="N59" s="136" t="s">
        <v>160</v>
      </c>
      <c r="O59" s="141"/>
      <c r="P59" s="141"/>
      <c r="Q59" s="141"/>
      <c r="R59" s="141"/>
      <c r="S59" s="141"/>
      <c r="T59" s="141"/>
      <c r="U59" s="141"/>
      <c r="V59" s="141"/>
      <c r="W59" s="141"/>
      <c r="X59" s="142"/>
      <c r="Y59" s="95"/>
      <c r="Z59" s="95"/>
      <c r="AA59" s="95"/>
      <c r="AB59" s="96"/>
      <c r="AC59" s="347"/>
      <c r="AD59" s="347"/>
      <c r="AE59" s="347"/>
      <c r="AF59" s="347"/>
      <c r="AI59" s="109" t="str">
        <f>"22:sougei_code:" &amp; IF(I59="■",1,IF(M59="■",2,0))</f>
        <v>22:sougei_code:0</v>
      </c>
    </row>
    <row r="60" spans="1:38" s="109" customFormat="1" ht="19.5" customHeight="1" x14ac:dyDescent="0.15">
      <c r="A60" s="97"/>
      <c r="B60" s="119"/>
      <c r="C60" s="99"/>
      <c r="D60" s="100"/>
      <c r="E60" s="101"/>
      <c r="F60" s="102"/>
      <c r="G60" s="101"/>
      <c r="H60" s="104" t="s">
        <v>217</v>
      </c>
      <c r="I60" s="135" t="s">
        <v>196</v>
      </c>
      <c r="J60" s="136" t="s">
        <v>153</v>
      </c>
      <c r="K60" s="136"/>
      <c r="L60" s="139" t="s">
        <v>196</v>
      </c>
      <c r="M60" s="136" t="s">
        <v>161</v>
      </c>
      <c r="N60" s="136"/>
      <c r="O60" s="141"/>
      <c r="P60" s="136"/>
      <c r="Q60" s="141"/>
      <c r="R60" s="141"/>
      <c r="S60" s="141"/>
      <c r="T60" s="141"/>
      <c r="U60" s="141"/>
      <c r="V60" s="141"/>
      <c r="W60" s="141"/>
      <c r="X60" s="142"/>
      <c r="Y60" s="95"/>
      <c r="Z60" s="95"/>
      <c r="AA60" s="95"/>
      <c r="AB60" s="96"/>
      <c r="AC60" s="347"/>
      <c r="AD60" s="347"/>
      <c r="AE60" s="347"/>
      <c r="AF60" s="347"/>
      <c r="AI60" s="109" t="str">
        <f>"22:field224:" &amp; IF(I60="■",1,IF(L60="■",2,0))</f>
        <v>22:field224:0</v>
      </c>
    </row>
    <row r="61" spans="1:38" s="109" customFormat="1" ht="18.75" customHeight="1" x14ac:dyDescent="0.15">
      <c r="A61" s="97"/>
      <c r="B61" s="119"/>
      <c r="C61" s="99"/>
      <c r="D61" s="100"/>
      <c r="E61" s="101"/>
      <c r="F61" s="102"/>
      <c r="G61" s="101"/>
      <c r="H61" s="217" t="s">
        <v>99</v>
      </c>
      <c r="I61" s="135" t="s">
        <v>196</v>
      </c>
      <c r="J61" s="136" t="s">
        <v>153</v>
      </c>
      <c r="K61" s="137"/>
      <c r="L61" s="139" t="s">
        <v>196</v>
      </c>
      <c r="M61" s="136" t="s">
        <v>161</v>
      </c>
      <c r="N61" s="141"/>
      <c r="O61" s="141"/>
      <c r="P61" s="141"/>
      <c r="Q61" s="141"/>
      <c r="R61" s="141"/>
      <c r="S61" s="141"/>
      <c r="T61" s="141"/>
      <c r="U61" s="141"/>
      <c r="V61" s="141"/>
      <c r="W61" s="141"/>
      <c r="X61" s="142"/>
      <c r="Y61" s="95"/>
      <c r="Z61" s="95"/>
      <c r="AA61" s="95"/>
      <c r="AB61" s="96"/>
      <c r="AC61" s="347"/>
      <c r="AD61" s="347"/>
      <c r="AE61" s="347"/>
      <c r="AF61" s="347"/>
      <c r="AI61" s="109" t="str">
        <f>"22:ryouyoushoku_code:" &amp; IF(I61="■",1,IF(L61="■",2,0))</f>
        <v>22:ryouyoushoku_code:0</v>
      </c>
    </row>
    <row r="62" spans="1:38" s="109" customFormat="1" ht="18.75" customHeight="1" x14ac:dyDescent="0.15">
      <c r="A62" s="97"/>
      <c r="B62" s="119"/>
      <c r="C62" s="99"/>
      <c r="D62" s="100"/>
      <c r="E62" s="101"/>
      <c r="F62" s="102"/>
      <c r="G62" s="101"/>
      <c r="H62" s="217" t="s">
        <v>122</v>
      </c>
      <c r="I62" s="135" t="s">
        <v>196</v>
      </c>
      <c r="J62" s="136" t="s">
        <v>153</v>
      </c>
      <c r="K62" s="136"/>
      <c r="L62" s="139" t="s">
        <v>196</v>
      </c>
      <c r="M62" s="136" t="s">
        <v>154</v>
      </c>
      <c r="N62" s="136"/>
      <c r="O62" s="139" t="s">
        <v>196</v>
      </c>
      <c r="P62" s="136" t="s">
        <v>155</v>
      </c>
      <c r="Q62" s="141"/>
      <c r="R62" s="141"/>
      <c r="S62" s="141"/>
      <c r="T62" s="141"/>
      <c r="U62" s="141"/>
      <c r="V62" s="141"/>
      <c r="W62" s="141"/>
      <c r="X62" s="142"/>
      <c r="Y62" s="95"/>
      <c r="Z62" s="95"/>
      <c r="AA62" s="95"/>
      <c r="AB62" s="96"/>
      <c r="AC62" s="347"/>
      <c r="AD62" s="347"/>
      <c r="AE62" s="347"/>
      <c r="AF62" s="347"/>
      <c r="AI62" s="109" t="str">
        <f>"22:ninti_senmoncare_code:" &amp; IF(I62="■",1,IF(O62="■",3,IF(L62="■",2,0)))</f>
        <v>22:ninti_senmoncare_code:0</v>
      </c>
    </row>
    <row r="63" spans="1:38" s="109" customFormat="1" ht="18.75" customHeight="1" x14ac:dyDescent="0.15">
      <c r="A63" s="97"/>
      <c r="B63" s="119"/>
      <c r="C63" s="99"/>
      <c r="D63" s="100"/>
      <c r="E63" s="101"/>
      <c r="F63" s="102"/>
      <c r="G63" s="101"/>
      <c r="H63" s="213" t="s">
        <v>224</v>
      </c>
      <c r="I63" s="135" t="s">
        <v>196</v>
      </c>
      <c r="J63" s="136" t="s">
        <v>153</v>
      </c>
      <c r="K63" s="136"/>
      <c r="L63" s="139" t="s">
        <v>196</v>
      </c>
      <c r="M63" s="136" t="s">
        <v>154</v>
      </c>
      <c r="N63" s="136"/>
      <c r="O63" s="139" t="s">
        <v>196</v>
      </c>
      <c r="P63" s="136" t="s">
        <v>155</v>
      </c>
      <c r="Q63" s="141"/>
      <c r="R63" s="141"/>
      <c r="S63" s="141"/>
      <c r="T63" s="141"/>
      <c r="U63" s="214"/>
      <c r="V63" s="214"/>
      <c r="W63" s="214"/>
      <c r="X63" s="215"/>
      <c r="Y63" s="95"/>
      <c r="Z63" s="95"/>
      <c r="AA63" s="95"/>
      <c r="AB63" s="96"/>
      <c r="AC63" s="347"/>
      <c r="AD63" s="347"/>
      <c r="AE63" s="347"/>
      <c r="AF63" s="347"/>
      <c r="AI63" s="109" t="str">
        <f>"22:field225:" &amp; IF(I63="■",1,IF(L63="■",2,IF(O63="■",3,0)))</f>
        <v>22:field225:0</v>
      </c>
    </row>
    <row r="64" spans="1:38" s="109" customFormat="1" ht="18.75" customHeight="1" x14ac:dyDescent="0.15">
      <c r="A64" s="97"/>
      <c r="B64" s="119"/>
      <c r="C64" s="99"/>
      <c r="D64" s="100"/>
      <c r="E64" s="101"/>
      <c r="F64" s="102"/>
      <c r="G64" s="101"/>
      <c r="H64" s="218" t="s">
        <v>103</v>
      </c>
      <c r="I64" s="135" t="s">
        <v>196</v>
      </c>
      <c r="J64" s="136" t="s">
        <v>153</v>
      </c>
      <c r="K64" s="136"/>
      <c r="L64" s="139" t="s">
        <v>196</v>
      </c>
      <c r="M64" s="136" t="s">
        <v>157</v>
      </c>
      <c r="N64" s="136"/>
      <c r="O64" s="139" t="s">
        <v>196</v>
      </c>
      <c r="P64" s="136" t="s">
        <v>158</v>
      </c>
      <c r="Q64" s="212"/>
      <c r="R64" s="139" t="s">
        <v>196</v>
      </c>
      <c r="S64" s="136" t="s">
        <v>167</v>
      </c>
      <c r="T64" s="212"/>
      <c r="U64" s="212"/>
      <c r="V64" s="212"/>
      <c r="W64" s="212"/>
      <c r="X64" s="178"/>
      <c r="Y64" s="95"/>
      <c r="Z64" s="95"/>
      <c r="AA64" s="95"/>
      <c r="AB64" s="96"/>
      <c r="AC64" s="347"/>
      <c r="AD64" s="347"/>
      <c r="AE64" s="347"/>
      <c r="AF64" s="347"/>
      <c r="AI64" s="109" t="str">
        <f>"22:serteikyo_kyoka_code:" &amp; IF(I64="■",1,IF(L64="■",6,IF(O64="■",5,IF(R64="■",7,0))))</f>
        <v>22:serteikyo_kyoka_code:0</v>
      </c>
    </row>
    <row r="65" spans="1:36" s="109" customFormat="1" ht="18.75" customHeight="1" x14ac:dyDescent="0.15">
      <c r="A65" s="97"/>
      <c r="B65" s="119"/>
      <c r="C65" s="99"/>
      <c r="D65" s="100"/>
      <c r="E65" s="101"/>
      <c r="F65" s="102"/>
      <c r="G65" s="101"/>
      <c r="H65" s="351" t="s">
        <v>238</v>
      </c>
      <c r="I65" s="388" t="s">
        <v>196</v>
      </c>
      <c r="J65" s="389" t="s">
        <v>153</v>
      </c>
      <c r="K65" s="389"/>
      <c r="L65" s="390" t="s">
        <v>196</v>
      </c>
      <c r="M65" s="389" t="s">
        <v>161</v>
      </c>
      <c r="N65" s="389"/>
      <c r="O65" s="147"/>
      <c r="P65" s="147"/>
      <c r="Q65" s="147"/>
      <c r="R65" s="147"/>
      <c r="S65" s="147"/>
      <c r="T65" s="147"/>
      <c r="U65" s="147"/>
      <c r="V65" s="147"/>
      <c r="W65" s="147"/>
      <c r="X65" s="151"/>
      <c r="Y65" s="95"/>
      <c r="Z65" s="95"/>
      <c r="AA65" s="95"/>
      <c r="AB65" s="96"/>
      <c r="AC65" s="347"/>
      <c r="AD65" s="347"/>
      <c r="AE65" s="347"/>
      <c r="AF65" s="347"/>
      <c r="AI65" s="109" t="str">
        <f>"22:field221:" &amp; IF(I65="■",1,IF(L65="■",2,0))</f>
        <v>22:field221:0</v>
      </c>
    </row>
    <row r="66" spans="1:36" s="109" customFormat="1" ht="18.75" customHeight="1" x14ac:dyDescent="0.15">
      <c r="A66" s="97"/>
      <c r="B66" s="119"/>
      <c r="C66" s="99"/>
      <c r="D66" s="100"/>
      <c r="E66" s="101"/>
      <c r="F66" s="102"/>
      <c r="G66" s="101"/>
      <c r="H66" s="352"/>
      <c r="I66" s="388"/>
      <c r="J66" s="389"/>
      <c r="K66" s="389"/>
      <c r="L66" s="390"/>
      <c r="M66" s="389"/>
      <c r="N66" s="389"/>
      <c r="O66" s="105"/>
      <c r="P66" s="105"/>
      <c r="Q66" s="105"/>
      <c r="R66" s="105"/>
      <c r="S66" s="105"/>
      <c r="T66" s="105"/>
      <c r="U66" s="105"/>
      <c r="V66" s="105"/>
      <c r="W66" s="105"/>
      <c r="X66" s="149"/>
      <c r="Y66" s="95"/>
      <c r="Z66" s="95"/>
      <c r="AA66" s="95"/>
      <c r="AB66" s="96"/>
      <c r="AC66" s="347"/>
      <c r="AD66" s="347"/>
      <c r="AE66" s="347"/>
      <c r="AF66" s="347"/>
    </row>
    <row r="67" spans="1:36" s="109" customFormat="1" ht="18.75" customHeight="1" x14ac:dyDescent="0.15">
      <c r="A67" s="156"/>
      <c r="B67" s="231"/>
      <c r="C67" s="158"/>
      <c r="D67" s="159"/>
      <c r="E67" s="160"/>
      <c r="F67" s="161"/>
      <c r="G67" s="162"/>
      <c r="H67" s="85" t="s">
        <v>234</v>
      </c>
      <c r="I67" s="163" t="s">
        <v>196</v>
      </c>
      <c r="J67" s="86" t="s">
        <v>153</v>
      </c>
      <c r="K67" s="86"/>
      <c r="L67" s="164" t="s">
        <v>196</v>
      </c>
      <c r="M67" s="86" t="s">
        <v>218</v>
      </c>
      <c r="N67" s="87"/>
      <c r="O67" s="164" t="s">
        <v>196</v>
      </c>
      <c r="P67" s="89" t="s">
        <v>219</v>
      </c>
      <c r="Q67" s="88"/>
      <c r="R67" s="164" t="s">
        <v>196</v>
      </c>
      <c r="S67" s="86" t="s">
        <v>220</v>
      </c>
      <c r="T67" s="88"/>
      <c r="U67" s="164" t="s">
        <v>196</v>
      </c>
      <c r="V67" s="86" t="s">
        <v>221</v>
      </c>
      <c r="W67" s="90"/>
      <c r="X67" s="91"/>
      <c r="Y67" s="165"/>
      <c r="Z67" s="165"/>
      <c r="AA67" s="165"/>
      <c r="AB67" s="166"/>
      <c r="AC67" s="348"/>
      <c r="AD67" s="348"/>
      <c r="AE67" s="348"/>
      <c r="AF67" s="348"/>
      <c r="AI67" s="109" t="str">
        <f>"22:shoguukaizen_code:"&amp;IF(I67="■",1,IF(L67="■",7,IF(O67="■",8,IF(R67="■",9,IF(U67="■","A",0)))))</f>
        <v>22:shoguukaizen_code:0</v>
      </c>
    </row>
    <row r="68" spans="1:36" s="109" customFormat="1" ht="18.75" customHeight="1" x14ac:dyDescent="0.15">
      <c r="A68" s="122"/>
      <c r="B68" s="123"/>
      <c r="C68" s="124"/>
      <c r="D68" s="125"/>
      <c r="E68" s="117"/>
      <c r="F68" s="126"/>
      <c r="G68" s="117"/>
      <c r="H68" s="216" t="s">
        <v>92</v>
      </c>
      <c r="I68" s="167" t="s">
        <v>196</v>
      </c>
      <c r="J68" s="168" t="s">
        <v>179</v>
      </c>
      <c r="K68" s="169"/>
      <c r="L68" s="170"/>
      <c r="M68" s="171" t="s">
        <v>196</v>
      </c>
      <c r="N68" s="168" t="s">
        <v>180</v>
      </c>
      <c r="O68" s="172"/>
      <c r="P68" s="172"/>
      <c r="Q68" s="172"/>
      <c r="R68" s="172"/>
      <c r="S68" s="172"/>
      <c r="T68" s="172"/>
      <c r="U68" s="172"/>
      <c r="V68" s="172"/>
      <c r="W68" s="172"/>
      <c r="X68" s="173"/>
      <c r="Y68" s="225" t="s">
        <v>196</v>
      </c>
      <c r="Z68" s="115" t="s">
        <v>152</v>
      </c>
      <c r="AA68" s="115"/>
      <c r="AB68" s="128"/>
      <c r="AC68" s="346"/>
      <c r="AD68" s="346"/>
      <c r="AE68" s="346"/>
      <c r="AF68" s="346"/>
      <c r="AG68" s="109" t="str">
        <f>"ser_code = '" &amp; IF(A77="■",22,"") &amp; "'"</f>
        <v>ser_code = ''</v>
      </c>
      <c r="AH68" s="109" t="str">
        <f>"22:jininkbn_code:" &amp; IF(F77="■",1,IF(F78="■",2,0))</f>
        <v>22:jininkbn_code:0</v>
      </c>
      <c r="AI68" s="109" t="str">
        <f>"22:yakan_kinmu_code:" &amp; IF(I68="■",1,IF(M68="■",6,0))</f>
        <v>22:yakan_kinmu_code:0</v>
      </c>
      <c r="AJ68" s="109" t="str">
        <f>"22:field203:" &amp; IF(Y68="■",1,IF(Y69="■",2,0))</f>
        <v>22:field203:0</v>
      </c>
    </row>
    <row r="69" spans="1:36" s="109" customFormat="1" ht="18.75" customHeight="1" x14ac:dyDescent="0.15">
      <c r="A69" s="97"/>
      <c r="B69" s="119"/>
      <c r="C69" s="99"/>
      <c r="D69" s="100"/>
      <c r="E69" s="101"/>
      <c r="F69" s="102"/>
      <c r="G69" s="101"/>
      <c r="H69" s="386" t="s">
        <v>89</v>
      </c>
      <c r="I69" s="175" t="s">
        <v>196</v>
      </c>
      <c r="J69" s="147" t="s">
        <v>153</v>
      </c>
      <c r="K69" s="147"/>
      <c r="L69" s="183"/>
      <c r="M69" s="189" t="s">
        <v>196</v>
      </c>
      <c r="N69" s="147" t="s">
        <v>168</v>
      </c>
      <c r="O69" s="147"/>
      <c r="P69" s="183"/>
      <c r="Q69" s="189" t="s">
        <v>196</v>
      </c>
      <c r="R69" s="179" t="s">
        <v>169</v>
      </c>
      <c r="S69" s="179"/>
      <c r="T69" s="179"/>
      <c r="U69" s="189" t="s">
        <v>196</v>
      </c>
      <c r="V69" s="179" t="s">
        <v>170</v>
      </c>
      <c r="W69" s="179"/>
      <c r="X69" s="228"/>
      <c r="Y69" s="197" t="s">
        <v>196</v>
      </c>
      <c r="Z69" s="94" t="s">
        <v>156</v>
      </c>
      <c r="AA69" s="95"/>
      <c r="AB69" s="96"/>
      <c r="AC69" s="347"/>
      <c r="AD69" s="347"/>
      <c r="AE69" s="347"/>
      <c r="AF69" s="347"/>
      <c r="AG69" s="109" t="str">
        <f>"22:sisetukbn_code:" &amp; IF(D77="■",1,0)</f>
        <v>22:sisetukbn_code:0</v>
      </c>
      <c r="AI69" s="109" t="str">
        <f>"22:"&amp;IF(AND(I69="□",M69="□",Q69="□",U69="□",I70="□",M70="□",Q70="□"),"ketu_doctor_code:0",IF(I69="■","ketu_doctor_code:1:ketu_kangos_code:1:ketu_kshoku_code:1:ketu_rryoho_code:1:ketu_sryoho_code:1:ketu_gengo_code:1",
IF(M69="■","ketu_doctor_code:2","ketu_doctor_code:1")
&amp;IF(Q69="■",":ketu_kangos_code:2",":ketu_kangos_code:1")
&amp;IF(U69="■",":ketu_kshoku_code:2",":ketu_kshoku_code:1")
&amp;IF(I70="■",":ketu_rryoho_code:2",":ketu_rryoho_code:1")
&amp;IF(M70="■",":ketu_sryoho_code:2",":ketu_sryoho_code:1")
&amp;IF(Q70="■",":ketu_gengo_code:2",":ketu_gengo_code:1")))</f>
        <v>22:ketu_doctor_code:0</v>
      </c>
    </row>
    <row r="70" spans="1:36" s="109" customFormat="1" ht="18.75" customHeight="1" x14ac:dyDescent="0.15">
      <c r="A70" s="97"/>
      <c r="B70" s="119"/>
      <c r="C70" s="99"/>
      <c r="D70" s="100"/>
      <c r="E70" s="101"/>
      <c r="F70" s="102"/>
      <c r="G70" s="101"/>
      <c r="H70" s="387"/>
      <c r="I70" s="152" t="s">
        <v>196</v>
      </c>
      <c r="J70" s="105" t="s">
        <v>171</v>
      </c>
      <c r="K70" s="105"/>
      <c r="L70" s="106"/>
      <c r="M70" s="191" t="s">
        <v>196</v>
      </c>
      <c r="N70" s="105" t="s">
        <v>172</v>
      </c>
      <c r="O70" s="105"/>
      <c r="P70" s="106"/>
      <c r="Q70" s="191" t="s">
        <v>196</v>
      </c>
      <c r="R70" s="148" t="s">
        <v>173</v>
      </c>
      <c r="S70" s="148"/>
      <c r="T70" s="148"/>
      <c r="U70" s="148"/>
      <c r="V70" s="148"/>
      <c r="W70" s="148"/>
      <c r="X70" s="229"/>
      <c r="Y70" s="95"/>
      <c r="Z70" s="95"/>
      <c r="AA70" s="95"/>
      <c r="AB70" s="96"/>
      <c r="AC70" s="347"/>
      <c r="AD70" s="347"/>
      <c r="AE70" s="347"/>
      <c r="AF70" s="347"/>
    </row>
    <row r="71" spans="1:36" s="109" customFormat="1" ht="18.75" customHeight="1" x14ac:dyDescent="0.15">
      <c r="A71" s="97"/>
      <c r="B71" s="119"/>
      <c r="C71" s="99"/>
      <c r="D71" s="100"/>
      <c r="E71" s="101"/>
      <c r="F71" s="102"/>
      <c r="G71" s="101"/>
      <c r="H71" s="217" t="s">
        <v>93</v>
      </c>
      <c r="I71" s="135" t="s">
        <v>196</v>
      </c>
      <c r="J71" s="136" t="s">
        <v>159</v>
      </c>
      <c r="K71" s="137"/>
      <c r="L71" s="138"/>
      <c r="M71" s="139" t="s">
        <v>196</v>
      </c>
      <c r="N71" s="136" t="s">
        <v>160</v>
      </c>
      <c r="O71" s="141"/>
      <c r="P71" s="141"/>
      <c r="Q71" s="141"/>
      <c r="R71" s="141"/>
      <c r="S71" s="141"/>
      <c r="T71" s="141"/>
      <c r="U71" s="141"/>
      <c r="V71" s="141"/>
      <c r="W71" s="141"/>
      <c r="X71" s="142"/>
      <c r="Y71" s="95"/>
      <c r="Z71" s="95"/>
      <c r="AA71" s="95"/>
      <c r="AB71" s="96"/>
      <c r="AC71" s="347"/>
      <c r="AD71" s="347"/>
      <c r="AE71" s="347"/>
      <c r="AF71" s="347"/>
      <c r="AI71" s="109" t="str">
        <f>"22:unitcare_code:" &amp; IF(I71="■",1,IF(M71="■",2,0))</f>
        <v>22:unitcare_code:0</v>
      </c>
    </row>
    <row r="72" spans="1:36" s="109" customFormat="1" ht="18.75" customHeight="1" x14ac:dyDescent="0.15">
      <c r="A72" s="97"/>
      <c r="B72" s="119"/>
      <c r="C72" s="210"/>
      <c r="D72" s="211"/>
      <c r="E72" s="101"/>
      <c r="F72" s="102"/>
      <c r="G72" s="103"/>
      <c r="H72" s="203" t="s">
        <v>96</v>
      </c>
      <c r="I72" s="135" t="s">
        <v>196</v>
      </c>
      <c r="J72" s="136" t="s">
        <v>197</v>
      </c>
      <c r="K72" s="137"/>
      <c r="L72" s="138"/>
      <c r="M72" s="139" t="s">
        <v>196</v>
      </c>
      <c r="N72" s="136" t="s">
        <v>198</v>
      </c>
      <c r="O72" s="137"/>
      <c r="P72" s="137"/>
      <c r="Q72" s="137"/>
      <c r="R72" s="137"/>
      <c r="S72" s="137"/>
      <c r="T72" s="137"/>
      <c r="U72" s="137"/>
      <c r="V72" s="137"/>
      <c r="W72" s="137"/>
      <c r="X72" s="145"/>
      <c r="Y72" s="134"/>
      <c r="Z72" s="95"/>
      <c r="AA72" s="95"/>
      <c r="AB72" s="96"/>
      <c r="AC72" s="347"/>
      <c r="AD72" s="347"/>
      <c r="AE72" s="347"/>
      <c r="AF72" s="347"/>
      <c r="AI72" s="109" t="str">
        <f>"22:sintaikousoku_code:" &amp; IF(I72="■",1,IF(M72="■",2,0))</f>
        <v>22:sintaikousoku_code:0</v>
      </c>
    </row>
    <row r="73" spans="1:36" s="109" customFormat="1" ht="19.5" customHeight="1" x14ac:dyDescent="0.15">
      <c r="A73" s="97"/>
      <c r="B73" s="119"/>
      <c r="C73" s="99"/>
      <c r="D73" s="100"/>
      <c r="E73" s="101"/>
      <c r="F73" s="102"/>
      <c r="G73" s="103"/>
      <c r="H73" s="104" t="s">
        <v>215</v>
      </c>
      <c r="I73" s="135" t="s">
        <v>196</v>
      </c>
      <c r="J73" s="136" t="s">
        <v>197</v>
      </c>
      <c r="K73" s="137"/>
      <c r="L73" s="138"/>
      <c r="M73" s="139" t="s">
        <v>196</v>
      </c>
      <c r="N73" s="136" t="s">
        <v>216</v>
      </c>
      <c r="O73" s="140"/>
      <c r="P73" s="136"/>
      <c r="Q73" s="141"/>
      <c r="R73" s="141"/>
      <c r="S73" s="141"/>
      <c r="T73" s="141"/>
      <c r="U73" s="141"/>
      <c r="V73" s="141"/>
      <c r="W73" s="141"/>
      <c r="X73" s="142"/>
      <c r="Y73" s="95"/>
      <c r="Z73" s="95"/>
      <c r="AA73" s="95"/>
      <c r="AB73" s="96"/>
      <c r="AC73" s="347"/>
      <c r="AD73" s="347"/>
      <c r="AE73" s="347"/>
      <c r="AF73" s="347"/>
      <c r="AI73" s="109" t="str">
        <f>"22:field223:" &amp; IF(I73="■",1,IF(M73="■",2,0))</f>
        <v>22:field223:0</v>
      </c>
    </row>
    <row r="74" spans="1:36" s="109" customFormat="1" ht="19.5" customHeight="1" x14ac:dyDescent="0.15">
      <c r="A74" s="97"/>
      <c r="B74" s="119"/>
      <c r="C74" s="99"/>
      <c r="D74" s="100"/>
      <c r="E74" s="101"/>
      <c r="F74" s="102"/>
      <c r="G74" s="103"/>
      <c r="H74" s="104" t="s">
        <v>226</v>
      </c>
      <c r="I74" s="135" t="s">
        <v>196</v>
      </c>
      <c r="J74" s="136" t="s">
        <v>197</v>
      </c>
      <c r="K74" s="137"/>
      <c r="L74" s="138"/>
      <c r="M74" s="139" t="s">
        <v>196</v>
      </c>
      <c r="N74" s="136" t="s">
        <v>216</v>
      </c>
      <c r="O74" s="140"/>
      <c r="P74" s="136"/>
      <c r="Q74" s="141"/>
      <c r="R74" s="141"/>
      <c r="S74" s="141"/>
      <c r="T74" s="141"/>
      <c r="U74" s="141"/>
      <c r="V74" s="141"/>
      <c r="W74" s="141"/>
      <c r="X74" s="142"/>
      <c r="Y74" s="95"/>
      <c r="Z74" s="95"/>
      <c r="AA74" s="95"/>
      <c r="AB74" s="96"/>
      <c r="AC74" s="347"/>
      <c r="AD74" s="347"/>
      <c r="AE74" s="347"/>
      <c r="AF74" s="347"/>
      <c r="AI74" s="109" t="str">
        <f>"22:field232:" &amp; IF(I74="■",1,IF(M74="■",2,0))</f>
        <v>22:field232:0</v>
      </c>
    </row>
    <row r="75" spans="1:36" s="109" customFormat="1" ht="18.75" customHeight="1" x14ac:dyDescent="0.15">
      <c r="A75" s="97"/>
      <c r="B75" s="119"/>
      <c r="C75" s="99"/>
      <c r="D75" s="100"/>
      <c r="E75" s="101"/>
      <c r="F75" s="102"/>
      <c r="G75" s="101"/>
      <c r="H75" s="217" t="s">
        <v>98</v>
      </c>
      <c r="I75" s="135" t="s">
        <v>196</v>
      </c>
      <c r="J75" s="136" t="s">
        <v>153</v>
      </c>
      <c r="K75" s="137"/>
      <c r="L75" s="139" t="s">
        <v>196</v>
      </c>
      <c r="M75" s="136" t="s">
        <v>161</v>
      </c>
      <c r="N75" s="141"/>
      <c r="O75" s="141"/>
      <c r="P75" s="141"/>
      <c r="Q75" s="141"/>
      <c r="R75" s="141"/>
      <c r="S75" s="141"/>
      <c r="T75" s="141"/>
      <c r="U75" s="141"/>
      <c r="V75" s="141"/>
      <c r="W75" s="141"/>
      <c r="X75" s="142"/>
      <c r="Y75" s="95"/>
      <c r="Z75" s="95"/>
      <c r="AA75" s="95"/>
      <c r="AB75" s="96"/>
      <c r="AC75" s="347"/>
      <c r="AD75" s="347"/>
      <c r="AE75" s="347"/>
      <c r="AF75" s="347"/>
      <c r="AI75" s="109" t="str">
        <f>"22:yakinhaiti_code:" &amp; IF(I75="■",1,IF(L75="■",2,0))</f>
        <v>22:yakinhaiti_code:0</v>
      </c>
    </row>
    <row r="76" spans="1:36" s="109" customFormat="1" ht="18.75" customHeight="1" x14ac:dyDescent="0.15">
      <c r="A76" s="97"/>
      <c r="B76" s="119"/>
      <c r="C76" s="99"/>
      <c r="D76" s="100"/>
      <c r="E76" s="101"/>
      <c r="F76" s="102"/>
      <c r="G76" s="101"/>
      <c r="H76" s="217" t="s">
        <v>94</v>
      </c>
      <c r="I76" s="135" t="s">
        <v>196</v>
      </c>
      <c r="J76" s="136" t="s">
        <v>153</v>
      </c>
      <c r="K76" s="137"/>
      <c r="L76" s="139" t="s">
        <v>196</v>
      </c>
      <c r="M76" s="136" t="s">
        <v>161</v>
      </c>
      <c r="N76" s="141"/>
      <c r="O76" s="141"/>
      <c r="P76" s="141"/>
      <c r="Q76" s="141"/>
      <c r="R76" s="141"/>
      <c r="S76" s="141"/>
      <c r="T76" s="141"/>
      <c r="U76" s="141"/>
      <c r="V76" s="141"/>
      <c r="W76" s="141"/>
      <c r="X76" s="142"/>
      <c r="Y76" s="95"/>
      <c r="Z76" s="95"/>
      <c r="AA76" s="95"/>
      <c r="AB76" s="96"/>
      <c r="AC76" s="347"/>
      <c r="AD76" s="347"/>
      <c r="AE76" s="347"/>
      <c r="AF76" s="347"/>
      <c r="AI76" s="109" t="str">
        <f>"22:ninticare_code:" &amp; IF(I76="■",1,IF(L76="■",2,0))</f>
        <v>22:ninticare_code:0</v>
      </c>
    </row>
    <row r="77" spans="1:36" s="109" customFormat="1" ht="18.75" customHeight="1" x14ac:dyDescent="0.15">
      <c r="A77" s="196" t="s">
        <v>196</v>
      </c>
      <c r="B77" s="119">
        <v>22</v>
      </c>
      <c r="C77" s="99" t="s">
        <v>125</v>
      </c>
      <c r="D77" s="197" t="s">
        <v>196</v>
      </c>
      <c r="E77" s="101" t="s">
        <v>184</v>
      </c>
      <c r="F77" s="197" t="s">
        <v>196</v>
      </c>
      <c r="G77" s="101" t="s">
        <v>181</v>
      </c>
      <c r="H77" s="217" t="s">
        <v>97</v>
      </c>
      <c r="I77" s="135" t="s">
        <v>196</v>
      </c>
      <c r="J77" s="136" t="s">
        <v>153</v>
      </c>
      <c r="K77" s="137"/>
      <c r="L77" s="139" t="s">
        <v>196</v>
      </c>
      <c r="M77" s="136" t="s">
        <v>161</v>
      </c>
      <c r="N77" s="141"/>
      <c r="O77" s="141"/>
      <c r="P77" s="141"/>
      <c r="Q77" s="141"/>
      <c r="R77" s="141"/>
      <c r="S77" s="141"/>
      <c r="T77" s="141"/>
      <c r="U77" s="141"/>
      <c r="V77" s="141"/>
      <c r="W77" s="141"/>
      <c r="X77" s="142"/>
      <c r="Y77" s="95"/>
      <c r="Z77" s="95"/>
      <c r="AA77" s="95"/>
      <c r="AB77" s="96"/>
      <c r="AC77" s="347"/>
      <c r="AD77" s="347"/>
      <c r="AE77" s="347"/>
      <c r="AF77" s="347"/>
      <c r="AI77" s="109" t="str">
        <f>"22:jyakuninti_uke_code:" &amp; IF(I77="■",1,IF(L77="■",2,0))</f>
        <v>22:jyakuninti_uke_code:0</v>
      </c>
    </row>
    <row r="78" spans="1:36" s="109" customFormat="1" ht="18.75" customHeight="1" x14ac:dyDescent="0.15">
      <c r="A78" s="97"/>
      <c r="B78" s="119"/>
      <c r="C78" s="99"/>
      <c r="D78" s="100"/>
      <c r="E78" s="101"/>
      <c r="F78" s="197" t="s">
        <v>196</v>
      </c>
      <c r="G78" s="101" t="s">
        <v>182</v>
      </c>
      <c r="H78" s="217" t="s">
        <v>136</v>
      </c>
      <c r="I78" s="135" t="s">
        <v>196</v>
      </c>
      <c r="J78" s="136" t="s">
        <v>153</v>
      </c>
      <c r="K78" s="136"/>
      <c r="L78" s="139" t="s">
        <v>196</v>
      </c>
      <c r="M78" s="136" t="s">
        <v>154</v>
      </c>
      <c r="N78" s="136"/>
      <c r="O78" s="139" t="s">
        <v>196</v>
      </c>
      <c r="P78" s="136" t="s">
        <v>155</v>
      </c>
      <c r="Q78" s="141"/>
      <c r="R78" s="141"/>
      <c r="S78" s="141"/>
      <c r="T78" s="141"/>
      <c r="U78" s="141"/>
      <c r="V78" s="141"/>
      <c r="W78" s="141"/>
      <c r="X78" s="142"/>
      <c r="Y78" s="95"/>
      <c r="Z78" s="95"/>
      <c r="AA78" s="95"/>
      <c r="AB78" s="96"/>
      <c r="AC78" s="347"/>
      <c r="AD78" s="347"/>
      <c r="AE78" s="347"/>
      <c r="AF78" s="347"/>
      <c r="AI78" s="109" t="str">
        <f>"22:zaitaku_hukki_code:" &amp; IF(I78="■",1,IF(L78="■",2,IF(O78="■",3,0)))</f>
        <v>22:zaitaku_hukki_code:0</v>
      </c>
    </row>
    <row r="79" spans="1:36" s="109" customFormat="1" ht="18.75" customHeight="1" x14ac:dyDescent="0.15">
      <c r="A79" s="97"/>
      <c r="B79" s="119"/>
      <c r="C79" s="99"/>
      <c r="D79" s="100"/>
      <c r="E79" s="101"/>
      <c r="F79" s="102"/>
      <c r="G79" s="101"/>
      <c r="H79" s="217" t="s">
        <v>90</v>
      </c>
      <c r="I79" s="135" t="s">
        <v>196</v>
      </c>
      <c r="J79" s="136" t="s">
        <v>159</v>
      </c>
      <c r="K79" s="137"/>
      <c r="L79" s="138"/>
      <c r="M79" s="139" t="s">
        <v>196</v>
      </c>
      <c r="N79" s="136" t="s">
        <v>160</v>
      </c>
      <c r="O79" s="141"/>
      <c r="P79" s="141"/>
      <c r="Q79" s="141"/>
      <c r="R79" s="141"/>
      <c r="S79" s="141"/>
      <c r="T79" s="141"/>
      <c r="U79" s="141"/>
      <c r="V79" s="141"/>
      <c r="W79" s="141"/>
      <c r="X79" s="142"/>
      <c r="Y79" s="95"/>
      <c r="Z79" s="95"/>
      <c r="AA79" s="95"/>
      <c r="AB79" s="96"/>
      <c r="AC79" s="347"/>
      <c r="AD79" s="347"/>
      <c r="AE79" s="347"/>
      <c r="AF79" s="347"/>
      <c r="AI79" s="109" t="str">
        <f>"22:sougei_code:" &amp; IF(I79="■",1,IF(M79="■",2,0))</f>
        <v>22:sougei_code:0</v>
      </c>
    </row>
    <row r="80" spans="1:36" s="109" customFormat="1" ht="19.5" customHeight="1" x14ac:dyDescent="0.15">
      <c r="A80" s="97"/>
      <c r="B80" s="119"/>
      <c r="C80" s="99"/>
      <c r="D80" s="100"/>
      <c r="E80" s="101"/>
      <c r="F80" s="102"/>
      <c r="G80" s="101"/>
      <c r="H80" s="104" t="s">
        <v>217</v>
      </c>
      <c r="I80" s="135" t="s">
        <v>196</v>
      </c>
      <c r="J80" s="136" t="s">
        <v>153</v>
      </c>
      <c r="K80" s="136"/>
      <c r="L80" s="139" t="s">
        <v>196</v>
      </c>
      <c r="M80" s="136" t="s">
        <v>161</v>
      </c>
      <c r="N80" s="136"/>
      <c r="O80" s="141"/>
      <c r="P80" s="136"/>
      <c r="Q80" s="141"/>
      <c r="R80" s="141"/>
      <c r="S80" s="141"/>
      <c r="T80" s="141"/>
      <c r="U80" s="141"/>
      <c r="V80" s="141"/>
      <c r="W80" s="141"/>
      <c r="X80" s="142"/>
      <c r="Y80" s="95"/>
      <c r="Z80" s="95"/>
      <c r="AA80" s="95"/>
      <c r="AB80" s="96"/>
      <c r="AC80" s="347"/>
      <c r="AD80" s="347"/>
      <c r="AE80" s="347"/>
      <c r="AF80" s="347"/>
      <c r="AI80" s="109" t="str">
        <f>"22:field224:" &amp; IF(I80="■",1,IF(L80="■",2,0))</f>
        <v>22:field224:0</v>
      </c>
    </row>
    <row r="81" spans="1:38" s="109" customFormat="1" ht="18.75" customHeight="1" x14ac:dyDescent="0.15">
      <c r="A81" s="97"/>
      <c r="B81" s="119"/>
      <c r="C81" s="99"/>
      <c r="D81" s="100"/>
      <c r="E81" s="101"/>
      <c r="F81" s="102"/>
      <c r="G81" s="101"/>
      <c r="H81" s="217" t="s">
        <v>99</v>
      </c>
      <c r="I81" s="135" t="s">
        <v>196</v>
      </c>
      <c r="J81" s="136" t="s">
        <v>153</v>
      </c>
      <c r="K81" s="137"/>
      <c r="L81" s="139" t="s">
        <v>196</v>
      </c>
      <c r="M81" s="136" t="s">
        <v>161</v>
      </c>
      <c r="N81" s="141"/>
      <c r="O81" s="141"/>
      <c r="P81" s="141"/>
      <c r="Q81" s="141"/>
      <c r="R81" s="141"/>
      <c r="S81" s="141"/>
      <c r="T81" s="141"/>
      <c r="U81" s="141"/>
      <c r="V81" s="141"/>
      <c r="W81" s="141"/>
      <c r="X81" s="142"/>
      <c r="Y81" s="95"/>
      <c r="Z81" s="95"/>
      <c r="AA81" s="95"/>
      <c r="AB81" s="96"/>
      <c r="AC81" s="347"/>
      <c r="AD81" s="347"/>
      <c r="AE81" s="347"/>
      <c r="AF81" s="347"/>
      <c r="AI81" s="109" t="str">
        <f>"22:ryouyoushoku_code:" &amp; IF(I81="■",1,IF(L81="■",2,0))</f>
        <v>22:ryouyoushoku_code:0</v>
      </c>
    </row>
    <row r="82" spans="1:38" s="109" customFormat="1" ht="18.75" customHeight="1" x14ac:dyDescent="0.15">
      <c r="A82" s="97"/>
      <c r="B82" s="119"/>
      <c r="C82" s="99"/>
      <c r="D82" s="100"/>
      <c r="E82" s="101"/>
      <c r="F82" s="102"/>
      <c r="G82" s="101"/>
      <c r="H82" s="217" t="s">
        <v>122</v>
      </c>
      <c r="I82" s="135" t="s">
        <v>196</v>
      </c>
      <c r="J82" s="136" t="s">
        <v>153</v>
      </c>
      <c r="K82" s="136"/>
      <c r="L82" s="139" t="s">
        <v>196</v>
      </c>
      <c r="M82" s="136" t="s">
        <v>154</v>
      </c>
      <c r="N82" s="136"/>
      <c r="O82" s="139" t="s">
        <v>196</v>
      </c>
      <c r="P82" s="136" t="s">
        <v>155</v>
      </c>
      <c r="Q82" s="141"/>
      <c r="R82" s="141"/>
      <c r="S82" s="141"/>
      <c r="T82" s="141"/>
      <c r="U82" s="141"/>
      <c r="V82" s="141"/>
      <c r="W82" s="141"/>
      <c r="X82" s="142"/>
      <c r="Y82" s="95"/>
      <c r="Z82" s="95"/>
      <c r="AA82" s="95"/>
      <c r="AB82" s="96"/>
      <c r="AC82" s="347"/>
      <c r="AD82" s="347"/>
      <c r="AE82" s="347"/>
      <c r="AF82" s="347"/>
      <c r="AI82" s="109" t="str">
        <f>"22:ninti_senmoncare_code:" &amp; IF(I82="■",1,IF(O82="■",3,IF(L82="■",2,0)))</f>
        <v>22:ninti_senmoncare_code:0</v>
      </c>
    </row>
    <row r="83" spans="1:38" s="109" customFormat="1" ht="18.75" customHeight="1" x14ac:dyDescent="0.15">
      <c r="A83" s="97"/>
      <c r="B83" s="119"/>
      <c r="C83" s="99"/>
      <c r="D83" s="100"/>
      <c r="E83" s="101"/>
      <c r="F83" s="102"/>
      <c r="G83" s="101"/>
      <c r="H83" s="213" t="s">
        <v>224</v>
      </c>
      <c r="I83" s="135" t="s">
        <v>196</v>
      </c>
      <c r="J83" s="136" t="s">
        <v>153</v>
      </c>
      <c r="K83" s="136"/>
      <c r="L83" s="139" t="s">
        <v>196</v>
      </c>
      <c r="M83" s="136" t="s">
        <v>154</v>
      </c>
      <c r="N83" s="136"/>
      <c r="O83" s="139" t="s">
        <v>196</v>
      </c>
      <c r="P83" s="136" t="s">
        <v>155</v>
      </c>
      <c r="Q83" s="141"/>
      <c r="R83" s="141"/>
      <c r="S83" s="141"/>
      <c r="T83" s="141"/>
      <c r="U83" s="214"/>
      <c r="V83" s="214"/>
      <c r="W83" s="214"/>
      <c r="X83" s="215"/>
      <c r="Y83" s="95"/>
      <c r="Z83" s="95"/>
      <c r="AA83" s="95"/>
      <c r="AB83" s="96"/>
      <c r="AC83" s="347"/>
      <c r="AD83" s="347"/>
      <c r="AE83" s="347"/>
      <c r="AF83" s="347"/>
      <c r="AI83" s="109" t="str">
        <f>"22:field225:" &amp; IF(I83="■",1,IF(L83="■",2,IF(O83="■",3,0)))</f>
        <v>22:field225:0</v>
      </c>
    </row>
    <row r="84" spans="1:38" s="109" customFormat="1" ht="18.75" customHeight="1" x14ac:dyDescent="0.15">
      <c r="A84" s="97"/>
      <c r="B84" s="119"/>
      <c r="C84" s="99"/>
      <c r="D84" s="100"/>
      <c r="E84" s="101"/>
      <c r="F84" s="102"/>
      <c r="G84" s="101"/>
      <c r="H84" s="218" t="s">
        <v>103</v>
      </c>
      <c r="I84" s="135" t="s">
        <v>196</v>
      </c>
      <c r="J84" s="136" t="s">
        <v>153</v>
      </c>
      <c r="K84" s="136"/>
      <c r="L84" s="139" t="s">
        <v>196</v>
      </c>
      <c r="M84" s="136" t="s">
        <v>157</v>
      </c>
      <c r="N84" s="136"/>
      <c r="O84" s="139" t="s">
        <v>196</v>
      </c>
      <c r="P84" s="136" t="s">
        <v>158</v>
      </c>
      <c r="Q84" s="212"/>
      <c r="R84" s="139" t="s">
        <v>196</v>
      </c>
      <c r="S84" s="136" t="s">
        <v>167</v>
      </c>
      <c r="T84" s="212"/>
      <c r="U84" s="212"/>
      <c r="V84" s="212"/>
      <c r="W84" s="212"/>
      <c r="X84" s="178"/>
      <c r="Y84" s="95"/>
      <c r="Z84" s="95"/>
      <c r="AA84" s="95"/>
      <c r="AB84" s="96"/>
      <c r="AC84" s="347"/>
      <c r="AD84" s="347"/>
      <c r="AE84" s="347"/>
      <c r="AF84" s="347"/>
      <c r="AI84" s="109" t="str">
        <f>"22:serteikyo_kyoka_code:" &amp; IF(I84="■",1,IF(L84="■",6,IF(O84="■",5,IF(R84="■",7,0))))</f>
        <v>22:serteikyo_kyoka_code:0</v>
      </c>
    </row>
    <row r="85" spans="1:38" s="109" customFormat="1" ht="18.75" customHeight="1" x14ac:dyDescent="0.15">
      <c r="A85" s="97"/>
      <c r="B85" s="119"/>
      <c r="C85" s="99"/>
      <c r="D85" s="100"/>
      <c r="E85" s="101"/>
      <c r="F85" s="102"/>
      <c r="G85" s="101"/>
      <c r="H85" s="351" t="s">
        <v>238</v>
      </c>
      <c r="I85" s="388" t="s">
        <v>196</v>
      </c>
      <c r="J85" s="389" t="s">
        <v>153</v>
      </c>
      <c r="K85" s="389"/>
      <c r="L85" s="390" t="s">
        <v>196</v>
      </c>
      <c r="M85" s="389" t="s">
        <v>161</v>
      </c>
      <c r="N85" s="389"/>
      <c r="O85" s="147"/>
      <c r="P85" s="147"/>
      <c r="Q85" s="147"/>
      <c r="R85" s="147"/>
      <c r="S85" s="147"/>
      <c r="T85" s="147"/>
      <c r="U85" s="147"/>
      <c r="V85" s="147"/>
      <c r="W85" s="147"/>
      <c r="X85" s="151"/>
      <c r="Y85" s="95"/>
      <c r="Z85" s="95"/>
      <c r="AA85" s="95"/>
      <c r="AB85" s="96"/>
      <c r="AC85" s="347"/>
      <c r="AD85" s="347"/>
      <c r="AE85" s="347"/>
      <c r="AF85" s="347"/>
      <c r="AI85" s="109" t="str">
        <f>"22:field221:" &amp; IF(I85="■",1,IF(L85="■",2,0))</f>
        <v>22:field221:0</v>
      </c>
    </row>
    <row r="86" spans="1:38" s="109" customFormat="1" ht="18.75" customHeight="1" x14ac:dyDescent="0.15">
      <c r="A86" s="97"/>
      <c r="B86" s="119"/>
      <c r="C86" s="99"/>
      <c r="D86" s="100"/>
      <c r="E86" s="101"/>
      <c r="F86" s="102"/>
      <c r="G86" s="101"/>
      <c r="H86" s="352"/>
      <c r="I86" s="388"/>
      <c r="J86" s="389"/>
      <c r="K86" s="389"/>
      <c r="L86" s="390"/>
      <c r="M86" s="389"/>
      <c r="N86" s="389"/>
      <c r="O86" s="105"/>
      <c r="P86" s="105"/>
      <c r="Q86" s="105"/>
      <c r="R86" s="105"/>
      <c r="S86" s="105"/>
      <c r="T86" s="105"/>
      <c r="U86" s="105"/>
      <c r="V86" s="105"/>
      <c r="W86" s="105"/>
      <c r="X86" s="149"/>
      <c r="Y86" s="95"/>
      <c r="Z86" s="95"/>
      <c r="AA86" s="95"/>
      <c r="AB86" s="96"/>
      <c r="AC86" s="347"/>
      <c r="AD86" s="347"/>
      <c r="AE86" s="347"/>
      <c r="AF86" s="347"/>
    </row>
    <row r="87" spans="1:38" s="109" customFormat="1" ht="18.75" customHeight="1" x14ac:dyDescent="0.15">
      <c r="A87" s="156"/>
      <c r="B87" s="231"/>
      <c r="C87" s="158"/>
      <c r="D87" s="159"/>
      <c r="E87" s="160"/>
      <c r="F87" s="161"/>
      <c r="G87" s="162"/>
      <c r="H87" s="85" t="s">
        <v>234</v>
      </c>
      <c r="I87" s="163" t="s">
        <v>196</v>
      </c>
      <c r="J87" s="86" t="s">
        <v>153</v>
      </c>
      <c r="K87" s="86"/>
      <c r="L87" s="164" t="s">
        <v>196</v>
      </c>
      <c r="M87" s="86" t="s">
        <v>218</v>
      </c>
      <c r="N87" s="87"/>
      <c r="O87" s="164" t="s">
        <v>196</v>
      </c>
      <c r="P87" s="89" t="s">
        <v>219</v>
      </c>
      <c r="Q87" s="88"/>
      <c r="R87" s="164" t="s">
        <v>196</v>
      </c>
      <c r="S87" s="86" t="s">
        <v>220</v>
      </c>
      <c r="T87" s="88"/>
      <c r="U87" s="164" t="s">
        <v>196</v>
      </c>
      <c r="V87" s="86" t="s">
        <v>221</v>
      </c>
      <c r="W87" s="90"/>
      <c r="X87" s="91"/>
      <c r="Y87" s="165"/>
      <c r="Z87" s="165"/>
      <c r="AA87" s="165"/>
      <c r="AB87" s="166"/>
      <c r="AC87" s="348"/>
      <c r="AD87" s="348"/>
      <c r="AE87" s="348"/>
      <c r="AF87" s="348"/>
      <c r="AI87" s="109" t="str">
        <f>"22:shoguukaizen_code:"&amp;IF(I87="■",1,IF(L87="■",7,IF(O87="■",8,IF(R87="■",9,IF(U87="■","A",0)))))</f>
        <v>22:shoguukaizen_code:0</v>
      </c>
    </row>
    <row r="88" spans="1:38" s="109" customFormat="1" ht="18.75" customHeight="1" x14ac:dyDescent="0.15">
      <c r="A88" s="122"/>
      <c r="B88" s="123"/>
      <c r="C88" s="124"/>
      <c r="D88" s="125"/>
      <c r="E88" s="117"/>
      <c r="F88" s="126"/>
      <c r="G88" s="117"/>
      <c r="H88" s="201" t="s">
        <v>92</v>
      </c>
      <c r="I88" s="167" t="s">
        <v>196</v>
      </c>
      <c r="J88" s="168" t="s">
        <v>179</v>
      </c>
      <c r="K88" s="169"/>
      <c r="L88" s="170"/>
      <c r="M88" s="171" t="s">
        <v>196</v>
      </c>
      <c r="N88" s="168" t="s">
        <v>180</v>
      </c>
      <c r="O88" s="172"/>
      <c r="P88" s="172"/>
      <c r="Q88" s="172"/>
      <c r="R88" s="172"/>
      <c r="S88" s="172"/>
      <c r="T88" s="172"/>
      <c r="U88" s="172"/>
      <c r="V88" s="172"/>
      <c r="W88" s="172"/>
      <c r="X88" s="173"/>
      <c r="Y88" s="227" t="s">
        <v>196</v>
      </c>
      <c r="Z88" s="115" t="s">
        <v>152</v>
      </c>
      <c r="AA88" s="115"/>
      <c r="AB88" s="128"/>
      <c r="AC88" s="346"/>
      <c r="AD88" s="346"/>
      <c r="AE88" s="346"/>
      <c r="AF88" s="346"/>
      <c r="AG88" s="109" t="str">
        <f>"ser_code = '" &amp; IF(A99="■",22,"") &amp; "'"</f>
        <v>ser_code = ''</v>
      </c>
      <c r="AI88" s="109" t="str">
        <f>"22:yakan_kinmu_code:" &amp; IF(I88="■",1,IF(M88="■",6,0))</f>
        <v>22:yakan_kinmu_code:0</v>
      </c>
      <c r="AJ88" s="109" t="str">
        <f>"22:field203:" &amp; IF(Y88="■",1,IF(Y89="■",2,0))</f>
        <v>22:field203:0</v>
      </c>
    </row>
    <row r="89" spans="1:38" s="109" customFormat="1" ht="18.75" customHeight="1" x14ac:dyDescent="0.15">
      <c r="A89" s="97"/>
      <c r="B89" s="119"/>
      <c r="C89" s="99"/>
      <c r="D89" s="100"/>
      <c r="E89" s="101"/>
      <c r="F89" s="102"/>
      <c r="G89" s="101"/>
      <c r="H89" s="349" t="s">
        <v>121</v>
      </c>
      <c r="I89" s="175" t="s">
        <v>196</v>
      </c>
      <c r="J89" s="147" t="s">
        <v>153</v>
      </c>
      <c r="K89" s="147"/>
      <c r="L89" s="183"/>
      <c r="M89" s="189" t="s">
        <v>196</v>
      </c>
      <c r="N89" s="147" t="s">
        <v>168</v>
      </c>
      <c r="O89" s="147"/>
      <c r="P89" s="183"/>
      <c r="Q89" s="189" t="s">
        <v>196</v>
      </c>
      <c r="R89" s="179" t="s">
        <v>169</v>
      </c>
      <c r="S89" s="179"/>
      <c r="T89" s="179"/>
      <c r="U89" s="189" t="s">
        <v>196</v>
      </c>
      <c r="V89" s="179" t="s">
        <v>170</v>
      </c>
      <c r="W89" s="179"/>
      <c r="X89" s="228"/>
      <c r="Y89" s="197" t="s">
        <v>196</v>
      </c>
      <c r="Z89" s="94" t="s">
        <v>156</v>
      </c>
      <c r="AA89" s="95"/>
      <c r="AB89" s="96"/>
      <c r="AC89" s="347"/>
      <c r="AD89" s="347"/>
      <c r="AE89" s="347"/>
      <c r="AF89" s="347"/>
      <c r="AG89" s="109" t="str">
        <f>"22:sisetukbn_code:" &amp; IF(D98="■",5,IF(D99="■",7,0))</f>
        <v>22:sisetukbn_code:0</v>
      </c>
      <c r="AI89" s="109" t="str">
        <f>"22:"&amp;IF(AND(I89="□",M89="□",Q89="□",U89="□",I90="□",M90="□",Q90="□"),"ketu_doctor_code:0",IF(I89="■","ketu_doctor_code:1:ketu_kangos_code:1:ketu_kshoku_code:1:ketu_rryoho_code:1:ketu_sryoho_code:1:ketu_gengo_code:1",
IF(M89="■","ketu_doctor_code:2","ketu_doctor_code:1")
&amp;IF(Q89="■",":ketu_kangos_code:2",":ketu_kangos_code:1")
&amp;IF(U89="■",":ketu_kshoku_code:2",":ketu_kshoku_code:1")
&amp;IF(I90="■",":ketu_rryoho_code:2",":ketu_rryoho_code:1")
&amp;IF(M90="■",":ketu_sryoho_code:2",":ketu_sryoho_code:1")
&amp;IF(Q90="■",":ketu_gengo_code:2",":ketu_gengo_code:1")))</f>
        <v>22:ketu_doctor_code:0</v>
      </c>
    </row>
    <row r="90" spans="1:38" s="109" customFormat="1" ht="18.75" customHeight="1" x14ac:dyDescent="0.15">
      <c r="A90" s="97"/>
      <c r="B90" s="119"/>
      <c r="C90" s="99"/>
      <c r="D90" s="100"/>
      <c r="E90" s="101"/>
      <c r="F90" s="102"/>
      <c r="G90" s="101"/>
      <c r="H90" s="350"/>
      <c r="I90" s="152" t="s">
        <v>196</v>
      </c>
      <c r="J90" s="105" t="s">
        <v>171</v>
      </c>
      <c r="K90" s="105"/>
      <c r="L90" s="106"/>
      <c r="M90" s="191" t="s">
        <v>196</v>
      </c>
      <c r="N90" s="105" t="s">
        <v>172</v>
      </c>
      <c r="O90" s="105"/>
      <c r="P90" s="106"/>
      <c r="Q90" s="191" t="s">
        <v>196</v>
      </c>
      <c r="R90" s="148" t="s">
        <v>173</v>
      </c>
      <c r="S90" s="148"/>
      <c r="T90" s="148"/>
      <c r="U90" s="148"/>
      <c r="V90" s="148"/>
      <c r="W90" s="148"/>
      <c r="X90" s="229"/>
      <c r="Y90" s="134"/>
      <c r="Z90" s="95"/>
      <c r="AA90" s="95"/>
      <c r="AB90" s="96"/>
      <c r="AC90" s="347"/>
      <c r="AD90" s="347"/>
      <c r="AE90" s="347"/>
      <c r="AF90" s="347"/>
    </row>
    <row r="91" spans="1:38" s="109" customFormat="1" ht="18.75" customHeight="1" x14ac:dyDescent="0.15">
      <c r="A91" s="97"/>
      <c r="B91" s="119"/>
      <c r="C91" s="99"/>
      <c r="D91" s="100"/>
      <c r="E91" s="101"/>
      <c r="F91" s="102"/>
      <c r="G91" s="101"/>
      <c r="H91" s="203" t="s">
        <v>93</v>
      </c>
      <c r="I91" s="135" t="s">
        <v>196</v>
      </c>
      <c r="J91" s="136" t="s">
        <v>159</v>
      </c>
      <c r="K91" s="137"/>
      <c r="L91" s="138"/>
      <c r="M91" s="139" t="s">
        <v>196</v>
      </c>
      <c r="N91" s="136" t="s">
        <v>160</v>
      </c>
      <c r="O91" s="141"/>
      <c r="P91" s="141"/>
      <c r="Q91" s="141"/>
      <c r="R91" s="141"/>
      <c r="S91" s="141"/>
      <c r="T91" s="141"/>
      <c r="U91" s="141"/>
      <c r="V91" s="141"/>
      <c r="W91" s="141"/>
      <c r="X91" s="142"/>
      <c r="Y91" s="134"/>
      <c r="Z91" s="95"/>
      <c r="AA91" s="95"/>
      <c r="AB91" s="96"/>
      <c r="AC91" s="347"/>
      <c r="AD91" s="347"/>
      <c r="AE91" s="347"/>
      <c r="AF91" s="347"/>
      <c r="AI91" s="109" t="str">
        <f>"22:unitcare_code:" &amp; IF(I91="■",1,IF(M91="■",2,0))</f>
        <v>22:unitcare_code:0</v>
      </c>
    </row>
    <row r="92" spans="1:38" s="109" customFormat="1" ht="18.75" customHeight="1" x14ac:dyDescent="0.15">
      <c r="A92" s="97"/>
      <c r="B92" s="119"/>
      <c r="C92" s="210"/>
      <c r="D92" s="211"/>
      <c r="E92" s="101"/>
      <c r="F92" s="102"/>
      <c r="G92" s="103"/>
      <c r="H92" s="203" t="s">
        <v>96</v>
      </c>
      <c r="I92" s="135" t="s">
        <v>196</v>
      </c>
      <c r="J92" s="136" t="s">
        <v>197</v>
      </c>
      <c r="K92" s="137"/>
      <c r="L92" s="138"/>
      <c r="M92" s="139" t="s">
        <v>196</v>
      </c>
      <c r="N92" s="136" t="s">
        <v>198</v>
      </c>
      <c r="O92" s="137"/>
      <c r="P92" s="137"/>
      <c r="Q92" s="137"/>
      <c r="R92" s="137"/>
      <c r="S92" s="137"/>
      <c r="T92" s="137"/>
      <c r="U92" s="137"/>
      <c r="V92" s="137"/>
      <c r="W92" s="137"/>
      <c r="X92" s="145"/>
      <c r="Y92" s="134"/>
      <c r="Z92" s="95"/>
      <c r="AA92" s="95"/>
      <c r="AB92" s="96"/>
      <c r="AC92" s="347"/>
      <c r="AD92" s="347"/>
      <c r="AE92" s="347"/>
      <c r="AF92" s="347"/>
      <c r="AI92" s="109" t="str">
        <f>"22:sintaikousoku_code:" &amp; IF(I92="■",1,IF(M92="■",2,0))</f>
        <v>22:sintaikousoku_code:0</v>
      </c>
    </row>
    <row r="93" spans="1:38" s="109" customFormat="1" ht="19.5" customHeight="1" x14ac:dyDescent="0.15">
      <c r="A93" s="97"/>
      <c r="B93" s="119"/>
      <c r="C93" s="99"/>
      <c r="D93" s="100"/>
      <c r="E93" s="101"/>
      <c r="F93" s="102"/>
      <c r="G93" s="103"/>
      <c r="H93" s="104" t="s">
        <v>215</v>
      </c>
      <c r="I93" s="135" t="s">
        <v>196</v>
      </c>
      <c r="J93" s="136" t="s">
        <v>197</v>
      </c>
      <c r="K93" s="137"/>
      <c r="L93" s="138"/>
      <c r="M93" s="139" t="s">
        <v>196</v>
      </c>
      <c r="N93" s="136" t="s">
        <v>216</v>
      </c>
      <c r="O93" s="140"/>
      <c r="P93" s="136"/>
      <c r="Q93" s="141"/>
      <c r="R93" s="141"/>
      <c r="S93" s="141"/>
      <c r="T93" s="141"/>
      <c r="U93" s="141"/>
      <c r="V93" s="141"/>
      <c r="W93" s="141"/>
      <c r="X93" s="142"/>
      <c r="Y93" s="95"/>
      <c r="Z93" s="95"/>
      <c r="AA93" s="95"/>
      <c r="AB93" s="96"/>
      <c r="AC93" s="347"/>
      <c r="AD93" s="347"/>
      <c r="AE93" s="347"/>
      <c r="AF93" s="347"/>
      <c r="AI93" s="109" t="str">
        <f>"22:field223:" &amp; IF(I93="■",1,IF(M93="■",2,0))</f>
        <v>22:field223:0</v>
      </c>
    </row>
    <row r="94" spans="1:38" s="109" customFormat="1" ht="19.5" customHeight="1" x14ac:dyDescent="0.15">
      <c r="A94" s="97"/>
      <c r="B94" s="119"/>
      <c r="C94" s="99"/>
      <c r="D94" s="100"/>
      <c r="E94" s="101"/>
      <c r="F94" s="102"/>
      <c r="G94" s="103"/>
      <c r="H94" s="104" t="s">
        <v>226</v>
      </c>
      <c r="I94" s="135" t="s">
        <v>196</v>
      </c>
      <c r="J94" s="136" t="s">
        <v>197</v>
      </c>
      <c r="K94" s="137"/>
      <c r="L94" s="138"/>
      <c r="M94" s="139" t="s">
        <v>196</v>
      </c>
      <c r="N94" s="136" t="s">
        <v>216</v>
      </c>
      <c r="O94" s="140"/>
      <c r="P94" s="136"/>
      <c r="Q94" s="141"/>
      <c r="R94" s="141"/>
      <c r="S94" s="141"/>
      <c r="T94" s="141"/>
      <c r="U94" s="141"/>
      <c r="V94" s="141"/>
      <c r="W94" s="141"/>
      <c r="X94" s="142"/>
      <c r="Y94" s="95"/>
      <c r="Z94" s="95"/>
      <c r="AA94" s="95"/>
      <c r="AB94" s="96"/>
      <c r="AC94" s="347"/>
      <c r="AD94" s="347"/>
      <c r="AE94" s="347"/>
      <c r="AF94" s="347"/>
      <c r="AI94" s="109" t="str">
        <f>"22:field232:" &amp; IF(I94="■",1,IF(M94="■",2,0))</f>
        <v>22:field232:0</v>
      </c>
    </row>
    <row r="95" spans="1:38" ht="19.5" customHeight="1" x14ac:dyDescent="0.15">
      <c r="A95" s="97"/>
      <c r="B95" s="119"/>
      <c r="C95" s="99"/>
      <c r="D95" s="100"/>
      <c r="E95" s="101"/>
      <c r="F95" s="102"/>
      <c r="G95" s="103"/>
      <c r="H95" s="104" t="s">
        <v>251</v>
      </c>
      <c r="I95" s="135" t="s">
        <v>196</v>
      </c>
      <c r="J95" s="105" t="s">
        <v>249</v>
      </c>
      <c r="K95" s="154"/>
      <c r="L95" s="106"/>
      <c r="M95" s="139" t="s">
        <v>196</v>
      </c>
      <c r="N95" s="105" t="s">
        <v>250</v>
      </c>
      <c r="O95" s="208"/>
      <c r="P95" s="105"/>
      <c r="Q95" s="132"/>
      <c r="R95" s="132"/>
      <c r="S95" s="132"/>
      <c r="T95" s="132"/>
      <c r="U95" s="132"/>
      <c r="V95" s="132"/>
      <c r="W95" s="132"/>
      <c r="X95" s="133"/>
      <c r="Y95" s="150"/>
      <c r="Z95" s="94"/>
      <c r="AA95" s="95"/>
      <c r="AB95" s="96"/>
      <c r="AC95" s="347"/>
      <c r="AD95" s="347"/>
      <c r="AE95" s="347"/>
      <c r="AF95" s="347"/>
      <c r="AG95" s="146"/>
      <c r="AH95" s="146"/>
      <c r="AI95" s="109" t="str">
        <f>"22:field242:" &amp; IF(I95="■",1,IF(M95="■",2,0))</f>
        <v>22:field242:0</v>
      </c>
      <c r="AJ95" s="146"/>
      <c r="AK95" s="146"/>
      <c r="AL95" s="146"/>
    </row>
    <row r="96" spans="1:38" s="109" customFormat="1" ht="18.75" customHeight="1" x14ac:dyDescent="0.15">
      <c r="A96" s="97"/>
      <c r="B96" s="119"/>
      <c r="C96" s="99"/>
      <c r="D96" s="100"/>
      <c r="E96" s="101"/>
      <c r="F96" s="102"/>
      <c r="G96" s="101"/>
      <c r="H96" s="203" t="s">
        <v>98</v>
      </c>
      <c r="I96" s="135" t="s">
        <v>196</v>
      </c>
      <c r="J96" s="136" t="s">
        <v>153</v>
      </c>
      <c r="K96" s="137"/>
      <c r="L96" s="139" t="s">
        <v>196</v>
      </c>
      <c r="M96" s="136" t="s">
        <v>161</v>
      </c>
      <c r="N96" s="141"/>
      <c r="O96" s="141"/>
      <c r="P96" s="141"/>
      <c r="Q96" s="141"/>
      <c r="R96" s="141"/>
      <c r="S96" s="141"/>
      <c r="T96" s="141"/>
      <c r="U96" s="141"/>
      <c r="V96" s="141"/>
      <c r="W96" s="141"/>
      <c r="X96" s="142"/>
      <c r="Y96" s="134"/>
      <c r="Z96" s="95"/>
      <c r="AA96" s="95"/>
      <c r="AB96" s="96"/>
      <c r="AC96" s="347"/>
      <c r="AD96" s="347"/>
      <c r="AE96" s="347"/>
      <c r="AF96" s="347"/>
      <c r="AI96" s="109" t="str">
        <f>"22:yakinhaiti_code:" &amp; IF(I96="■",1,IF(L96="■",2,0))</f>
        <v>22:yakinhaiti_code:0</v>
      </c>
    </row>
    <row r="97" spans="1:36" s="109" customFormat="1" ht="18.75" customHeight="1" x14ac:dyDescent="0.15">
      <c r="A97" s="97"/>
      <c r="B97" s="119"/>
      <c r="C97" s="99"/>
      <c r="D97" s="100"/>
      <c r="E97" s="101"/>
      <c r="F97" s="102"/>
      <c r="G97" s="101"/>
      <c r="H97" s="203" t="s">
        <v>100</v>
      </c>
      <c r="I97" s="135" t="s">
        <v>196</v>
      </c>
      <c r="J97" s="136" t="s">
        <v>185</v>
      </c>
      <c r="K97" s="136"/>
      <c r="L97" s="138"/>
      <c r="M97" s="138"/>
      <c r="N97" s="139" t="s">
        <v>196</v>
      </c>
      <c r="O97" s="136" t="s">
        <v>186</v>
      </c>
      <c r="P97" s="141"/>
      <c r="Q97" s="141"/>
      <c r="R97" s="141"/>
      <c r="S97" s="139" t="s">
        <v>196</v>
      </c>
      <c r="T97" s="136" t="s">
        <v>187</v>
      </c>
      <c r="U97" s="141"/>
      <c r="V97" s="141"/>
      <c r="W97" s="141"/>
      <c r="X97" s="142"/>
      <c r="Y97" s="134"/>
      <c r="Z97" s="95"/>
      <c r="AA97" s="95"/>
      <c r="AB97" s="96"/>
      <c r="AC97" s="347"/>
      <c r="AD97" s="347"/>
      <c r="AE97" s="347"/>
      <c r="AF97" s="347"/>
      <c r="AI97" s="109" t="str">
        <f>"22:"&amp;IF(AND(I97="□",N97="□",S97="□"),"koriha_gengo_code:0:riha_seisin_code:0:koriha_other_code:0",IF(I97="■","koriha_gengo_code:2","koriha_gengo_code:1")
&amp;IF(N97="■",":riha_seisin_code:2",":riha_seisin_code:1")
&amp;IF(S97="■",":koriha_other_code:2",":koriha_other_code:1"))</f>
        <v>22:koriha_gengo_code:0:riha_seisin_code:0:koriha_other_code:0</v>
      </c>
    </row>
    <row r="98" spans="1:36" s="109" customFormat="1" ht="18.75" customHeight="1" x14ac:dyDescent="0.15">
      <c r="A98" s="97"/>
      <c r="B98" s="119"/>
      <c r="C98" s="99"/>
      <c r="D98" s="197" t="s">
        <v>196</v>
      </c>
      <c r="E98" s="101" t="s">
        <v>190</v>
      </c>
      <c r="F98" s="102"/>
      <c r="G98" s="101"/>
      <c r="H98" s="203" t="s">
        <v>94</v>
      </c>
      <c r="I98" s="135" t="s">
        <v>196</v>
      </c>
      <c r="J98" s="136" t="s">
        <v>153</v>
      </c>
      <c r="K98" s="137"/>
      <c r="L98" s="139" t="s">
        <v>196</v>
      </c>
      <c r="M98" s="136" t="s">
        <v>161</v>
      </c>
      <c r="N98" s="141"/>
      <c r="O98" s="141"/>
      <c r="P98" s="141"/>
      <c r="Q98" s="141"/>
      <c r="R98" s="141"/>
      <c r="S98" s="141"/>
      <c r="T98" s="141"/>
      <c r="U98" s="141"/>
      <c r="V98" s="141"/>
      <c r="W98" s="141"/>
      <c r="X98" s="142"/>
      <c r="Y98" s="134"/>
      <c r="Z98" s="95"/>
      <c r="AA98" s="95"/>
      <c r="AB98" s="96"/>
      <c r="AC98" s="347"/>
      <c r="AD98" s="347"/>
      <c r="AE98" s="347"/>
      <c r="AF98" s="347"/>
      <c r="AI98" s="109" t="str">
        <f>"22:ninticare_code:" &amp; IF(I98="■",1,IF(L98="■",2,0))</f>
        <v>22:ninticare_code:0</v>
      </c>
    </row>
    <row r="99" spans="1:36" s="109" customFormat="1" ht="18.75" customHeight="1" x14ac:dyDescent="0.15">
      <c r="A99" s="196" t="s">
        <v>196</v>
      </c>
      <c r="B99" s="119">
        <v>22</v>
      </c>
      <c r="C99" s="99" t="s">
        <v>125</v>
      </c>
      <c r="D99" s="197" t="s">
        <v>196</v>
      </c>
      <c r="E99" s="101" t="s">
        <v>192</v>
      </c>
      <c r="F99" s="102"/>
      <c r="G99" s="101"/>
      <c r="H99" s="203" t="s">
        <v>97</v>
      </c>
      <c r="I99" s="135" t="s">
        <v>196</v>
      </c>
      <c r="J99" s="136" t="s">
        <v>153</v>
      </c>
      <c r="K99" s="137"/>
      <c r="L99" s="139" t="s">
        <v>196</v>
      </c>
      <c r="M99" s="136" t="s">
        <v>161</v>
      </c>
      <c r="N99" s="141"/>
      <c r="O99" s="141"/>
      <c r="P99" s="141"/>
      <c r="Q99" s="141"/>
      <c r="R99" s="141"/>
      <c r="S99" s="141"/>
      <c r="T99" s="141"/>
      <c r="U99" s="141"/>
      <c r="V99" s="141"/>
      <c r="W99" s="141"/>
      <c r="X99" s="142"/>
      <c r="Y99" s="134"/>
      <c r="Z99" s="95"/>
      <c r="AA99" s="95"/>
      <c r="AB99" s="96"/>
      <c r="AC99" s="347"/>
      <c r="AD99" s="347"/>
      <c r="AE99" s="347"/>
      <c r="AF99" s="347"/>
      <c r="AI99" s="109" t="str">
        <f>"22:jyakuninti_uke_code:" &amp; IF(I99="■",1,IF(L99="■",2,0))</f>
        <v>22:jyakuninti_uke_code:0</v>
      </c>
    </row>
    <row r="100" spans="1:36" s="109" customFormat="1" ht="18.75" customHeight="1" x14ac:dyDescent="0.15">
      <c r="A100" s="97"/>
      <c r="B100" s="119"/>
      <c r="C100" s="99"/>
      <c r="D100" s="100"/>
      <c r="E100" s="101"/>
      <c r="F100" s="102"/>
      <c r="G100" s="101"/>
      <c r="H100" s="203" t="s">
        <v>90</v>
      </c>
      <c r="I100" s="135" t="s">
        <v>196</v>
      </c>
      <c r="J100" s="136" t="s">
        <v>159</v>
      </c>
      <c r="K100" s="137"/>
      <c r="L100" s="138"/>
      <c r="M100" s="139" t="s">
        <v>196</v>
      </c>
      <c r="N100" s="136" t="s">
        <v>160</v>
      </c>
      <c r="O100" s="141"/>
      <c r="P100" s="141"/>
      <c r="Q100" s="141"/>
      <c r="R100" s="141"/>
      <c r="S100" s="141"/>
      <c r="T100" s="141"/>
      <c r="U100" s="141"/>
      <c r="V100" s="141"/>
      <c r="W100" s="141"/>
      <c r="X100" s="142"/>
      <c r="Y100" s="134"/>
      <c r="Z100" s="95"/>
      <c r="AA100" s="95"/>
      <c r="AB100" s="96"/>
      <c r="AC100" s="347"/>
      <c r="AD100" s="347"/>
      <c r="AE100" s="347"/>
      <c r="AF100" s="347"/>
      <c r="AI100" s="109" t="str">
        <f>"22:sougei_code:" &amp; IF(I100="■",1,IF(M100="■",2,0))</f>
        <v>22:sougei_code:0</v>
      </c>
    </row>
    <row r="101" spans="1:36" s="109" customFormat="1" ht="18.75" customHeight="1" x14ac:dyDescent="0.15">
      <c r="A101" s="97"/>
      <c r="B101" s="119"/>
      <c r="C101" s="99"/>
      <c r="D101" s="100"/>
      <c r="E101" s="101"/>
      <c r="F101" s="102"/>
      <c r="G101" s="101"/>
      <c r="H101" s="203" t="s">
        <v>101</v>
      </c>
      <c r="I101" s="135" t="s">
        <v>196</v>
      </c>
      <c r="J101" s="136" t="s">
        <v>188</v>
      </c>
      <c r="K101" s="141"/>
      <c r="L101" s="141"/>
      <c r="M101" s="141"/>
      <c r="N101" s="141"/>
      <c r="O101" s="141"/>
      <c r="P101" s="139" t="s">
        <v>196</v>
      </c>
      <c r="Q101" s="136" t="s">
        <v>189</v>
      </c>
      <c r="R101" s="141"/>
      <c r="S101" s="212"/>
      <c r="T101" s="141"/>
      <c r="U101" s="141"/>
      <c r="V101" s="141"/>
      <c r="W101" s="141"/>
      <c r="X101" s="142"/>
      <c r="Y101" s="134"/>
      <c r="Z101" s="95"/>
      <c r="AA101" s="95"/>
      <c r="AB101" s="96"/>
      <c r="AC101" s="347"/>
      <c r="AD101" s="347"/>
      <c r="AE101" s="347"/>
      <c r="AF101" s="347"/>
      <c r="AI101" s="109" t="str">
        <f>"22:" &amp; IF(AND(I101="□",P101="□"),"tokusin_jyusho_code:0:tokusin_yakuzai_code:0",IF(I101="■","tokusin_jyusho_code:2","tokusin_jyusho_code:1")
&amp;IF(P101="■",":tokusin_yakuzai_code:2",":tokusin_yakuzai_code:1"))</f>
        <v>22:tokusin_jyusho_code:0:tokusin_yakuzai_code:0</v>
      </c>
    </row>
    <row r="102" spans="1:36" s="109" customFormat="1" ht="18.75" customHeight="1" x14ac:dyDescent="0.15">
      <c r="A102" s="97"/>
      <c r="B102" s="119"/>
      <c r="C102" s="99"/>
      <c r="D102" s="100"/>
      <c r="E102" s="101"/>
      <c r="F102" s="102"/>
      <c r="G102" s="101"/>
      <c r="H102" s="203" t="s">
        <v>117</v>
      </c>
      <c r="I102" s="135" t="s">
        <v>196</v>
      </c>
      <c r="J102" s="136" t="s">
        <v>153</v>
      </c>
      <c r="K102" s="137"/>
      <c r="L102" s="139" t="s">
        <v>196</v>
      </c>
      <c r="M102" s="136" t="s">
        <v>161</v>
      </c>
      <c r="N102" s="212"/>
      <c r="O102" s="212"/>
      <c r="P102" s="212"/>
      <c r="Q102" s="212"/>
      <c r="R102" s="212"/>
      <c r="S102" s="212"/>
      <c r="T102" s="212"/>
      <c r="U102" s="212"/>
      <c r="V102" s="212"/>
      <c r="W102" s="212"/>
      <c r="X102" s="178"/>
      <c r="Y102" s="134"/>
      <c r="Z102" s="95"/>
      <c r="AA102" s="95"/>
      <c r="AB102" s="96"/>
      <c r="AC102" s="347"/>
      <c r="AD102" s="347"/>
      <c r="AE102" s="347"/>
      <c r="AF102" s="347"/>
      <c r="AI102" s="109" t="str">
        <f>"22:field198:" &amp; IF(I102="■",1,IF(L102="■",2,0))</f>
        <v>22:field198:0</v>
      </c>
    </row>
    <row r="103" spans="1:36" s="109" customFormat="1" ht="18.75" customHeight="1" x14ac:dyDescent="0.15">
      <c r="A103" s="97"/>
      <c r="B103" s="119"/>
      <c r="C103" s="99"/>
      <c r="D103" s="100"/>
      <c r="E103" s="101"/>
      <c r="F103" s="102"/>
      <c r="G103" s="101"/>
      <c r="H103" s="203" t="s">
        <v>118</v>
      </c>
      <c r="I103" s="135" t="s">
        <v>196</v>
      </c>
      <c r="J103" s="136" t="s">
        <v>153</v>
      </c>
      <c r="K103" s="137"/>
      <c r="L103" s="139" t="s">
        <v>196</v>
      </c>
      <c r="M103" s="136" t="s">
        <v>161</v>
      </c>
      <c r="N103" s="212"/>
      <c r="O103" s="212"/>
      <c r="P103" s="212"/>
      <c r="Q103" s="212"/>
      <c r="R103" s="212"/>
      <c r="S103" s="212"/>
      <c r="T103" s="212"/>
      <c r="U103" s="212"/>
      <c r="V103" s="212"/>
      <c r="W103" s="212"/>
      <c r="X103" s="178"/>
      <c r="Y103" s="134"/>
      <c r="Z103" s="95"/>
      <c r="AA103" s="95"/>
      <c r="AB103" s="96"/>
      <c r="AC103" s="347"/>
      <c r="AD103" s="347"/>
      <c r="AE103" s="347"/>
      <c r="AF103" s="347"/>
      <c r="AI103" s="109" t="str">
        <f>"22:field199:" &amp; IF(I103="■",1,IF(L103="■",2,0))</f>
        <v>22:field199:0</v>
      </c>
    </row>
    <row r="104" spans="1:36" s="109" customFormat="1" ht="19.5" customHeight="1" x14ac:dyDescent="0.15">
      <c r="A104" s="97"/>
      <c r="B104" s="119"/>
      <c r="C104" s="99"/>
      <c r="D104" s="100"/>
      <c r="E104" s="101"/>
      <c r="F104" s="102"/>
      <c r="G104" s="103"/>
      <c r="H104" s="104" t="s">
        <v>217</v>
      </c>
      <c r="I104" s="135" t="s">
        <v>196</v>
      </c>
      <c r="J104" s="136" t="s">
        <v>153</v>
      </c>
      <c r="K104" s="136"/>
      <c r="L104" s="139" t="s">
        <v>196</v>
      </c>
      <c r="M104" s="136" t="s">
        <v>161</v>
      </c>
      <c r="N104" s="136"/>
      <c r="O104" s="141"/>
      <c r="P104" s="136"/>
      <c r="Q104" s="141"/>
      <c r="R104" s="141"/>
      <c r="S104" s="141"/>
      <c r="T104" s="141"/>
      <c r="U104" s="141"/>
      <c r="V104" s="141"/>
      <c r="W104" s="141"/>
      <c r="X104" s="142"/>
      <c r="Y104" s="95"/>
      <c r="Z104" s="95"/>
      <c r="AA104" s="95"/>
      <c r="AB104" s="96"/>
      <c r="AC104" s="347"/>
      <c r="AD104" s="347"/>
      <c r="AE104" s="347"/>
      <c r="AF104" s="347"/>
      <c r="AI104" s="109" t="str">
        <f>"22:field224:" &amp; IF(I104="■",1,IF(L104="■",2,0))</f>
        <v>22:field224:0</v>
      </c>
    </row>
    <row r="105" spans="1:36" s="109" customFormat="1" ht="18.75" customHeight="1" x14ac:dyDescent="0.15">
      <c r="A105" s="97"/>
      <c r="B105" s="119"/>
      <c r="C105" s="99"/>
      <c r="D105" s="100"/>
      <c r="E105" s="101"/>
      <c r="F105" s="102"/>
      <c r="G105" s="101"/>
      <c r="H105" s="203" t="s">
        <v>99</v>
      </c>
      <c r="I105" s="135" t="s">
        <v>196</v>
      </c>
      <c r="J105" s="136" t="s">
        <v>153</v>
      </c>
      <c r="K105" s="137"/>
      <c r="L105" s="139" t="s">
        <v>196</v>
      </c>
      <c r="M105" s="136" t="s">
        <v>161</v>
      </c>
      <c r="N105" s="141"/>
      <c r="O105" s="141"/>
      <c r="P105" s="141"/>
      <c r="Q105" s="141"/>
      <c r="R105" s="141"/>
      <c r="S105" s="141"/>
      <c r="T105" s="141"/>
      <c r="U105" s="141"/>
      <c r="V105" s="141"/>
      <c r="W105" s="141"/>
      <c r="X105" s="142"/>
      <c r="Y105" s="134"/>
      <c r="Z105" s="95"/>
      <c r="AA105" s="95"/>
      <c r="AB105" s="96"/>
      <c r="AC105" s="347"/>
      <c r="AD105" s="347"/>
      <c r="AE105" s="347"/>
      <c r="AF105" s="347"/>
      <c r="AI105" s="109" t="str">
        <f>"22:ryouyoushoku_code:" &amp; IF(I105="■",1,IF(L105="■",2,0))</f>
        <v>22:ryouyoushoku_code:0</v>
      </c>
    </row>
    <row r="106" spans="1:36" s="109" customFormat="1" ht="18.75" customHeight="1" x14ac:dyDescent="0.15">
      <c r="A106" s="97"/>
      <c r="B106" s="119"/>
      <c r="C106" s="99"/>
      <c r="D106" s="100"/>
      <c r="E106" s="101"/>
      <c r="F106" s="102"/>
      <c r="G106" s="101"/>
      <c r="H106" s="203" t="s">
        <v>122</v>
      </c>
      <c r="I106" s="135" t="s">
        <v>196</v>
      </c>
      <c r="J106" s="136" t="s">
        <v>153</v>
      </c>
      <c r="K106" s="136"/>
      <c r="L106" s="139" t="s">
        <v>196</v>
      </c>
      <c r="M106" s="136" t="s">
        <v>154</v>
      </c>
      <c r="N106" s="136"/>
      <c r="O106" s="139" t="s">
        <v>196</v>
      </c>
      <c r="P106" s="136" t="s">
        <v>155</v>
      </c>
      <c r="Q106" s="141"/>
      <c r="R106" s="141"/>
      <c r="S106" s="141"/>
      <c r="T106" s="141"/>
      <c r="U106" s="141"/>
      <c r="V106" s="141"/>
      <c r="W106" s="141"/>
      <c r="X106" s="142"/>
      <c r="Y106" s="134"/>
      <c r="Z106" s="95"/>
      <c r="AA106" s="95"/>
      <c r="AB106" s="96"/>
      <c r="AC106" s="347"/>
      <c r="AD106" s="347"/>
      <c r="AE106" s="347"/>
      <c r="AF106" s="347"/>
      <c r="AI106" s="109" t="str">
        <f>"22:ninti_senmoncare_code:" &amp; IF(I106="■",1,IF(O106="■",3,IF(L106="■",2,0)))</f>
        <v>22:ninti_senmoncare_code:0</v>
      </c>
    </row>
    <row r="107" spans="1:36" s="109" customFormat="1" ht="18.75" customHeight="1" x14ac:dyDescent="0.15">
      <c r="A107" s="97"/>
      <c r="B107" s="119"/>
      <c r="C107" s="99"/>
      <c r="D107" s="100"/>
      <c r="E107" s="101"/>
      <c r="F107" s="102"/>
      <c r="G107" s="101"/>
      <c r="H107" s="213" t="s">
        <v>224</v>
      </c>
      <c r="I107" s="135" t="s">
        <v>196</v>
      </c>
      <c r="J107" s="136" t="s">
        <v>153</v>
      </c>
      <c r="K107" s="136"/>
      <c r="L107" s="139" t="s">
        <v>196</v>
      </c>
      <c r="M107" s="136" t="s">
        <v>154</v>
      </c>
      <c r="N107" s="136"/>
      <c r="O107" s="139" t="s">
        <v>196</v>
      </c>
      <c r="P107" s="136" t="s">
        <v>155</v>
      </c>
      <c r="Q107" s="141"/>
      <c r="R107" s="141"/>
      <c r="S107" s="141"/>
      <c r="T107" s="141"/>
      <c r="U107" s="214"/>
      <c r="V107" s="214"/>
      <c r="W107" s="214"/>
      <c r="X107" s="215"/>
      <c r="Y107" s="134"/>
      <c r="Z107" s="95"/>
      <c r="AA107" s="95"/>
      <c r="AB107" s="96"/>
      <c r="AC107" s="347"/>
      <c r="AD107" s="347"/>
      <c r="AE107" s="347"/>
      <c r="AF107" s="347"/>
      <c r="AI107" s="109" t="str">
        <f>"22:field225:" &amp; IF(I107="■",1,IF(L107="■",2,IF(O107="■",3,0)))</f>
        <v>22:field225:0</v>
      </c>
    </row>
    <row r="108" spans="1:36" s="109" customFormat="1" ht="18.75" customHeight="1" x14ac:dyDescent="0.15">
      <c r="A108" s="97"/>
      <c r="B108" s="119"/>
      <c r="C108" s="99"/>
      <c r="D108" s="100"/>
      <c r="E108" s="101"/>
      <c r="F108" s="102"/>
      <c r="G108" s="101"/>
      <c r="H108" s="199" t="s">
        <v>103</v>
      </c>
      <c r="I108" s="135" t="s">
        <v>196</v>
      </c>
      <c r="J108" s="136" t="s">
        <v>153</v>
      </c>
      <c r="K108" s="136"/>
      <c r="L108" s="139" t="s">
        <v>196</v>
      </c>
      <c r="M108" s="136" t="s">
        <v>157</v>
      </c>
      <c r="N108" s="136"/>
      <c r="O108" s="139" t="s">
        <v>196</v>
      </c>
      <c r="P108" s="136" t="s">
        <v>158</v>
      </c>
      <c r="Q108" s="212"/>
      <c r="R108" s="139" t="s">
        <v>196</v>
      </c>
      <c r="S108" s="136" t="s">
        <v>167</v>
      </c>
      <c r="T108" s="212"/>
      <c r="U108" s="212"/>
      <c r="V108" s="212"/>
      <c r="W108" s="212"/>
      <c r="X108" s="178"/>
      <c r="Y108" s="134"/>
      <c r="Z108" s="95"/>
      <c r="AA108" s="95"/>
      <c r="AB108" s="96"/>
      <c r="AC108" s="347"/>
      <c r="AD108" s="347"/>
      <c r="AE108" s="347"/>
      <c r="AF108" s="347"/>
      <c r="AI108" s="109" t="str">
        <f>"22:serteikyo_kyoka_code:" &amp; IF(I108="■",1,IF(L108="■",6,IF(O108="■",5,IF(R108="■",7,0))))</f>
        <v>22:serteikyo_kyoka_code:0</v>
      </c>
    </row>
    <row r="109" spans="1:36" s="109" customFormat="1" ht="18.75" customHeight="1" x14ac:dyDescent="0.15">
      <c r="A109" s="97"/>
      <c r="B109" s="119"/>
      <c r="C109" s="99"/>
      <c r="D109" s="100"/>
      <c r="E109" s="101"/>
      <c r="F109" s="102"/>
      <c r="G109" s="101"/>
      <c r="H109" s="351" t="s">
        <v>238</v>
      </c>
      <c r="I109" s="388" t="s">
        <v>196</v>
      </c>
      <c r="J109" s="389" t="s">
        <v>153</v>
      </c>
      <c r="K109" s="389"/>
      <c r="L109" s="390" t="s">
        <v>196</v>
      </c>
      <c r="M109" s="389" t="s">
        <v>161</v>
      </c>
      <c r="N109" s="389"/>
      <c r="O109" s="147"/>
      <c r="P109" s="147"/>
      <c r="Q109" s="147"/>
      <c r="R109" s="147"/>
      <c r="S109" s="147"/>
      <c r="T109" s="147"/>
      <c r="U109" s="147"/>
      <c r="V109" s="147"/>
      <c r="W109" s="147"/>
      <c r="X109" s="151"/>
      <c r="Y109" s="134"/>
      <c r="Z109" s="95"/>
      <c r="AA109" s="95"/>
      <c r="AB109" s="96"/>
      <c r="AC109" s="347"/>
      <c r="AD109" s="347"/>
      <c r="AE109" s="347"/>
      <c r="AF109" s="347"/>
      <c r="AI109" s="109" t="str">
        <f>"22:field221:" &amp; IF(I109="■",1,IF(L109="■",2,0))</f>
        <v>22:field221:0</v>
      </c>
    </row>
    <row r="110" spans="1:36" s="109" customFormat="1" ht="18.75" customHeight="1" x14ac:dyDescent="0.15">
      <c r="A110" s="97"/>
      <c r="B110" s="119"/>
      <c r="C110" s="99"/>
      <c r="D110" s="100"/>
      <c r="E110" s="101"/>
      <c r="F110" s="102"/>
      <c r="G110" s="101"/>
      <c r="H110" s="352"/>
      <c r="I110" s="388"/>
      <c r="J110" s="389"/>
      <c r="K110" s="389"/>
      <c r="L110" s="390"/>
      <c r="M110" s="389"/>
      <c r="N110" s="389"/>
      <c r="O110" s="105"/>
      <c r="P110" s="105"/>
      <c r="Q110" s="105"/>
      <c r="R110" s="105"/>
      <c r="S110" s="105"/>
      <c r="T110" s="105"/>
      <c r="U110" s="105"/>
      <c r="V110" s="105"/>
      <c r="W110" s="105"/>
      <c r="X110" s="149"/>
      <c r="Y110" s="134"/>
      <c r="Z110" s="95"/>
      <c r="AA110" s="95"/>
      <c r="AB110" s="96"/>
      <c r="AC110" s="347"/>
      <c r="AD110" s="347"/>
      <c r="AE110" s="347"/>
      <c r="AF110" s="347"/>
    </row>
    <row r="111" spans="1:36" s="109" customFormat="1" ht="18.75" customHeight="1" x14ac:dyDescent="0.15">
      <c r="A111" s="156"/>
      <c r="B111" s="231"/>
      <c r="C111" s="158"/>
      <c r="D111" s="159"/>
      <c r="E111" s="160"/>
      <c r="F111" s="161"/>
      <c r="G111" s="162"/>
      <c r="H111" s="85" t="s">
        <v>234</v>
      </c>
      <c r="I111" s="163" t="s">
        <v>196</v>
      </c>
      <c r="J111" s="86" t="s">
        <v>153</v>
      </c>
      <c r="K111" s="86"/>
      <c r="L111" s="164" t="s">
        <v>196</v>
      </c>
      <c r="M111" s="86" t="s">
        <v>218</v>
      </c>
      <c r="N111" s="87"/>
      <c r="O111" s="164" t="s">
        <v>196</v>
      </c>
      <c r="P111" s="89" t="s">
        <v>219</v>
      </c>
      <c r="Q111" s="88"/>
      <c r="R111" s="164" t="s">
        <v>196</v>
      </c>
      <c r="S111" s="86" t="s">
        <v>220</v>
      </c>
      <c r="T111" s="88"/>
      <c r="U111" s="164" t="s">
        <v>196</v>
      </c>
      <c r="V111" s="86" t="s">
        <v>221</v>
      </c>
      <c r="W111" s="90"/>
      <c r="X111" s="91"/>
      <c r="Y111" s="165"/>
      <c r="Z111" s="165"/>
      <c r="AA111" s="165"/>
      <c r="AB111" s="166"/>
      <c r="AC111" s="348"/>
      <c r="AD111" s="348"/>
      <c r="AE111" s="348"/>
      <c r="AF111" s="348"/>
      <c r="AI111" s="109" t="str">
        <f>"22:shoguukaizen_code:"&amp;IF(I111="■",1,IF(L111="■",7,IF(O111="■",8,IF(R111="■",9,IF(U111="■","A",0)))))</f>
        <v>22:shoguukaizen_code:0</v>
      </c>
    </row>
    <row r="112" spans="1:36" s="109" customFormat="1" ht="18.75" customHeight="1" x14ac:dyDescent="0.15">
      <c r="A112" s="122"/>
      <c r="B112" s="123"/>
      <c r="C112" s="124"/>
      <c r="D112" s="125"/>
      <c r="E112" s="117"/>
      <c r="F112" s="126"/>
      <c r="G112" s="117"/>
      <c r="H112" s="201" t="s">
        <v>92</v>
      </c>
      <c r="I112" s="167" t="s">
        <v>196</v>
      </c>
      <c r="J112" s="168" t="s">
        <v>179</v>
      </c>
      <c r="K112" s="169"/>
      <c r="L112" s="170"/>
      <c r="M112" s="171" t="s">
        <v>196</v>
      </c>
      <c r="N112" s="168" t="s">
        <v>180</v>
      </c>
      <c r="O112" s="172"/>
      <c r="P112" s="172"/>
      <c r="Q112" s="172"/>
      <c r="R112" s="172"/>
      <c r="S112" s="172"/>
      <c r="T112" s="172"/>
      <c r="U112" s="172"/>
      <c r="V112" s="172"/>
      <c r="W112" s="172"/>
      <c r="X112" s="173"/>
      <c r="Y112" s="227" t="s">
        <v>196</v>
      </c>
      <c r="Z112" s="115" t="s">
        <v>152</v>
      </c>
      <c r="AA112" s="115"/>
      <c r="AB112" s="128"/>
      <c r="AC112" s="346"/>
      <c r="AD112" s="346"/>
      <c r="AE112" s="346"/>
      <c r="AF112" s="346"/>
      <c r="AG112" s="109" t="str">
        <f>"ser_code = '" &amp; IF(A122="■",22,"") &amp; "'"</f>
        <v>ser_code = ''</v>
      </c>
      <c r="AI112" s="109" t="str">
        <f>"22:yakan_kinmu_code:" &amp; IF(I112="■",1,IF(M112="■",6,0))</f>
        <v>22:yakan_kinmu_code:0</v>
      </c>
      <c r="AJ112" s="109" t="str">
        <f>"22:field203:" &amp; IF(Y112="■",1,IF(Y113="■",2,0))</f>
        <v>22:field203:0</v>
      </c>
    </row>
    <row r="113" spans="1:35" s="109" customFormat="1" ht="18.75" customHeight="1" x14ac:dyDescent="0.15">
      <c r="A113" s="97"/>
      <c r="B113" s="119"/>
      <c r="C113" s="99"/>
      <c r="D113" s="100"/>
      <c r="E113" s="101"/>
      <c r="F113" s="102"/>
      <c r="G113" s="101"/>
      <c r="H113" s="349" t="s">
        <v>121</v>
      </c>
      <c r="I113" s="175" t="s">
        <v>196</v>
      </c>
      <c r="J113" s="147" t="s">
        <v>153</v>
      </c>
      <c r="K113" s="147"/>
      <c r="L113" s="183"/>
      <c r="M113" s="189" t="s">
        <v>196</v>
      </c>
      <c r="N113" s="147" t="s">
        <v>168</v>
      </c>
      <c r="O113" s="147"/>
      <c r="P113" s="183"/>
      <c r="Q113" s="189" t="s">
        <v>196</v>
      </c>
      <c r="R113" s="179" t="s">
        <v>169</v>
      </c>
      <c r="S113" s="179"/>
      <c r="T113" s="179"/>
      <c r="U113" s="189" t="s">
        <v>196</v>
      </c>
      <c r="V113" s="179" t="s">
        <v>170</v>
      </c>
      <c r="W113" s="179"/>
      <c r="X113" s="228"/>
      <c r="Y113" s="197" t="s">
        <v>196</v>
      </c>
      <c r="Z113" s="94" t="s">
        <v>156</v>
      </c>
      <c r="AA113" s="95"/>
      <c r="AB113" s="96"/>
      <c r="AC113" s="347"/>
      <c r="AD113" s="347"/>
      <c r="AE113" s="347"/>
      <c r="AF113" s="347"/>
      <c r="AG113" s="109" t="str">
        <f>"22:sisetukbn_code:" &amp; IF(D122="■",6,IF(D123="■",8,0))</f>
        <v>22:sisetukbn_code:0</v>
      </c>
      <c r="AI113" s="109" t="str">
        <f>"22:"&amp;IF(AND(I113="□",M113="□",Q113="□",U113="□",I114="□",M114="□",Q114="□"),"ketu_doctor_code:0",IF(I113="■","ketu_doctor_code:1:ketu_kangos_code:1:ketu_kshoku_code:1:ketu_rryoho_code:1:ketu_sryoho_code:1:ketu_gengo_code:1",
IF(M113="■","ketu_doctor_code:2","ketu_doctor_code:1")
&amp;IF(Q113="■",":ketu_kangos_code:2",":ketu_kangos_code:1")
&amp;IF(U113="■",":ketu_kshoku_code:2",":ketu_kshoku_code:1")
&amp;IF(I114="■",":ketu_rryoho_code:2",":ketu_rryoho_code:1")
&amp;IF(M114="■",":ketu_sryoho_code:2",":ketu_sryoho_code:1")
&amp;IF(Q114="■",":ketu_gengo_code:2",":ketu_gengo_code:1")))</f>
        <v>22:ketu_doctor_code:0</v>
      </c>
    </row>
    <row r="114" spans="1:35" s="109" customFormat="1" ht="18.75" customHeight="1" x14ac:dyDescent="0.15">
      <c r="A114" s="97"/>
      <c r="B114" s="119"/>
      <c r="C114" s="99"/>
      <c r="D114" s="100"/>
      <c r="E114" s="101"/>
      <c r="F114" s="102"/>
      <c r="G114" s="101"/>
      <c r="H114" s="350"/>
      <c r="I114" s="152" t="s">
        <v>196</v>
      </c>
      <c r="J114" s="105" t="s">
        <v>171</v>
      </c>
      <c r="K114" s="105"/>
      <c r="L114" s="106"/>
      <c r="M114" s="191" t="s">
        <v>196</v>
      </c>
      <c r="N114" s="105" t="s">
        <v>172</v>
      </c>
      <c r="O114" s="105"/>
      <c r="P114" s="106"/>
      <c r="Q114" s="191" t="s">
        <v>196</v>
      </c>
      <c r="R114" s="148" t="s">
        <v>173</v>
      </c>
      <c r="S114" s="148"/>
      <c r="T114" s="148"/>
      <c r="U114" s="148"/>
      <c r="V114" s="148"/>
      <c r="W114" s="148"/>
      <c r="X114" s="229"/>
      <c r="Y114" s="134"/>
      <c r="Z114" s="95"/>
      <c r="AA114" s="95"/>
      <c r="AB114" s="96"/>
      <c r="AC114" s="347"/>
      <c r="AD114" s="347"/>
      <c r="AE114" s="347"/>
      <c r="AF114" s="347"/>
    </row>
    <row r="115" spans="1:35" s="109" customFormat="1" ht="18.75" customHeight="1" x14ac:dyDescent="0.15">
      <c r="A115" s="97"/>
      <c r="B115" s="119"/>
      <c r="C115" s="99"/>
      <c r="D115" s="100"/>
      <c r="E115" s="101"/>
      <c r="F115" s="102"/>
      <c r="G115" s="101"/>
      <c r="H115" s="203" t="s">
        <v>93</v>
      </c>
      <c r="I115" s="135" t="s">
        <v>196</v>
      </c>
      <c r="J115" s="136" t="s">
        <v>159</v>
      </c>
      <c r="K115" s="137"/>
      <c r="L115" s="138"/>
      <c r="M115" s="139" t="s">
        <v>196</v>
      </c>
      <c r="N115" s="136" t="s">
        <v>160</v>
      </c>
      <c r="O115" s="141"/>
      <c r="P115" s="141"/>
      <c r="Q115" s="141"/>
      <c r="R115" s="141"/>
      <c r="S115" s="141"/>
      <c r="T115" s="141"/>
      <c r="U115" s="141"/>
      <c r="V115" s="141"/>
      <c r="W115" s="141"/>
      <c r="X115" s="142"/>
      <c r="Y115" s="134"/>
      <c r="Z115" s="95"/>
      <c r="AA115" s="95"/>
      <c r="AB115" s="96"/>
      <c r="AC115" s="347"/>
      <c r="AD115" s="347"/>
      <c r="AE115" s="347"/>
      <c r="AF115" s="347"/>
      <c r="AI115" s="109" t="str">
        <f>"22:unitcare_code:" &amp; IF(I115="■",1,IF(M115="■",2,0))</f>
        <v>22:unitcare_code:0</v>
      </c>
    </row>
    <row r="116" spans="1:35" s="109" customFormat="1" ht="18.75" customHeight="1" x14ac:dyDescent="0.15">
      <c r="A116" s="97"/>
      <c r="B116" s="119"/>
      <c r="C116" s="210"/>
      <c r="D116" s="211"/>
      <c r="E116" s="101"/>
      <c r="F116" s="102"/>
      <c r="G116" s="103"/>
      <c r="H116" s="203" t="s">
        <v>96</v>
      </c>
      <c r="I116" s="135" t="s">
        <v>196</v>
      </c>
      <c r="J116" s="136" t="s">
        <v>197</v>
      </c>
      <c r="K116" s="137"/>
      <c r="L116" s="138"/>
      <c r="M116" s="139" t="s">
        <v>196</v>
      </c>
      <c r="N116" s="136" t="s">
        <v>198</v>
      </c>
      <c r="O116" s="137"/>
      <c r="P116" s="137"/>
      <c r="Q116" s="137"/>
      <c r="R116" s="137"/>
      <c r="S116" s="137"/>
      <c r="T116" s="137"/>
      <c r="U116" s="137"/>
      <c r="V116" s="137"/>
      <c r="W116" s="137"/>
      <c r="X116" s="145"/>
      <c r="Y116" s="134"/>
      <c r="Z116" s="95"/>
      <c r="AA116" s="95"/>
      <c r="AB116" s="96"/>
      <c r="AC116" s="347"/>
      <c r="AD116" s="347"/>
      <c r="AE116" s="347"/>
      <c r="AF116" s="347"/>
      <c r="AI116" s="109" t="str">
        <f>"22:sintaikousoku_code:" &amp; IF(I116="■",1,IF(M116="■",2,0))</f>
        <v>22:sintaikousoku_code:0</v>
      </c>
    </row>
    <row r="117" spans="1:35" s="109" customFormat="1" ht="19.5" customHeight="1" x14ac:dyDescent="0.15">
      <c r="A117" s="97"/>
      <c r="B117" s="119"/>
      <c r="C117" s="99"/>
      <c r="D117" s="100"/>
      <c r="E117" s="101"/>
      <c r="F117" s="102"/>
      <c r="G117" s="103"/>
      <c r="H117" s="104" t="s">
        <v>215</v>
      </c>
      <c r="I117" s="135" t="s">
        <v>196</v>
      </c>
      <c r="J117" s="136" t="s">
        <v>197</v>
      </c>
      <c r="K117" s="137"/>
      <c r="L117" s="138"/>
      <c r="M117" s="139" t="s">
        <v>196</v>
      </c>
      <c r="N117" s="136" t="s">
        <v>216</v>
      </c>
      <c r="O117" s="140"/>
      <c r="P117" s="136"/>
      <c r="Q117" s="141"/>
      <c r="R117" s="141"/>
      <c r="S117" s="141"/>
      <c r="T117" s="141"/>
      <c r="U117" s="141"/>
      <c r="V117" s="141"/>
      <c r="W117" s="141"/>
      <c r="X117" s="142"/>
      <c r="Y117" s="95"/>
      <c r="Z117" s="95"/>
      <c r="AA117" s="95"/>
      <c r="AB117" s="96"/>
      <c r="AC117" s="347"/>
      <c r="AD117" s="347"/>
      <c r="AE117" s="347"/>
      <c r="AF117" s="347"/>
      <c r="AI117" s="109" t="str">
        <f>"22:field223:" &amp; IF(I117="■",1,IF(M117="■",2,0))</f>
        <v>22:field223:0</v>
      </c>
    </row>
    <row r="118" spans="1:35" s="109" customFormat="1" ht="19.5" customHeight="1" x14ac:dyDescent="0.15">
      <c r="A118" s="97"/>
      <c r="B118" s="119"/>
      <c r="C118" s="99"/>
      <c r="D118" s="100"/>
      <c r="E118" s="101"/>
      <c r="F118" s="102"/>
      <c r="G118" s="103"/>
      <c r="H118" s="104" t="s">
        <v>226</v>
      </c>
      <c r="I118" s="135" t="s">
        <v>196</v>
      </c>
      <c r="J118" s="136" t="s">
        <v>197</v>
      </c>
      <c r="K118" s="137"/>
      <c r="L118" s="138"/>
      <c r="M118" s="139" t="s">
        <v>196</v>
      </c>
      <c r="N118" s="136" t="s">
        <v>216</v>
      </c>
      <c r="O118" s="140"/>
      <c r="P118" s="136"/>
      <c r="Q118" s="141"/>
      <c r="R118" s="141"/>
      <c r="S118" s="141"/>
      <c r="T118" s="141"/>
      <c r="U118" s="141"/>
      <c r="V118" s="141"/>
      <c r="W118" s="141"/>
      <c r="X118" s="142"/>
      <c r="Y118" s="95"/>
      <c r="Z118" s="95"/>
      <c r="AA118" s="95"/>
      <c r="AB118" s="96"/>
      <c r="AC118" s="347"/>
      <c r="AD118" s="347"/>
      <c r="AE118" s="347"/>
      <c r="AF118" s="347"/>
      <c r="AI118" s="109" t="str">
        <f>"22:field232:" &amp; IF(I118="■",1,IF(M118="■",2,0))</f>
        <v>22:field232:0</v>
      </c>
    </row>
    <row r="119" spans="1:35" s="109" customFormat="1" ht="18.75" customHeight="1" x14ac:dyDescent="0.15">
      <c r="A119" s="97"/>
      <c r="B119" s="119"/>
      <c r="C119" s="99"/>
      <c r="D119" s="100"/>
      <c r="E119" s="101"/>
      <c r="F119" s="102"/>
      <c r="G119" s="101"/>
      <c r="H119" s="203" t="s">
        <v>98</v>
      </c>
      <c r="I119" s="135" t="s">
        <v>196</v>
      </c>
      <c r="J119" s="136" t="s">
        <v>153</v>
      </c>
      <c r="K119" s="137"/>
      <c r="L119" s="139" t="s">
        <v>196</v>
      </c>
      <c r="M119" s="136" t="s">
        <v>161</v>
      </c>
      <c r="N119" s="141"/>
      <c r="O119" s="141"/>
      <c r="P119" s="141"/>
      <c r="Q119" s="141"/>
      <c r="R119" s="141"/>
      <c r="S119" s="141"/>
      <c r="T119" s="141"/>
      <c r="U119" s="141"/>
      <c r="V119" s="141"/>
      <c r="W119" s="141"/>
      <c r="X119" s="142"/>
      <c r="Y119" s="134"/>
      <c r="Z119" s="95"/>
      <c r="AA119" s="95"/>
      <c r="AB119" s="96"/>
      <c r="AC119" s="347"/>
      <c r="AD119" s="347"/>
      <c r="AE119" s="347"/>
      <c r="AF119" s="347"/>
      <c r="AI119" s="109" t="str">
        <f>"22:yakinhaiti_code:" &amp; IF(I119="■",1,IF(L119="■",2,0))</f>
        <v>22:yakinhaiti_code:0</v>
      </c>
    </row>
    <row r="120" spans="1:35" s="109" customFormat="1" ht="18.75" customHeight="1" x14ac:dyDescent="0.15">
      <c r="A120" s="97"/>
      <c r="B120" s="119"/>
      <c r="C120" s="99"/>
      <c r="D120" s="100"/>
      <c r="E120" s="101"/>
      <c r="F120" s="102"/>
      <c r="G120" s="101"/>
      <c r="H120" s="203" t="s">
        <v>100</v>
      </c>
      <c r="I120" s="135" t="s">
        <v>196</v>
      </c>
      <c r="J120" s="136" t="s">
        <v>185</v>
      </c>
      <c r="K120" s="136"/>
      <c r="L120" s="138"/>
      <c r="M120" s="138"/>
      <c r="N120" s="139" t="s">
        <v>196</v>
      </c>
      <c r="O120" s="136" t="s">
        <v>186</v>
      </c>
      <c r="P120" s="141"/>
      <c r="Q120" s="141"/>
      <c r="R120" s="141"/>
      <c r="S120" s="139" t="s">
        <v>196</v>
      </c>
      <c r="T120" s="136" t="s">
        <v>187</v>
      </c>
      <c r="U120" s="141"/>
      <c r="V120" s="141"/>
      <c r="W120" s="141"/>
      <c r="X120" s="142"/>
      <c r="Y120" s="134"/>
      <c r="Z120" s="95"/>
      <c r="AA120" s="95"/>
      <c r="AB120" s="96"/>
      <c r="AC120" s="347"/>
      <c r="AD120" s="347"/>
      <c r="AE120" s="347"/>
      <c r="AF120" s="347"/>
      <c r="AI120" s="109" t="str">
        <f>"22:"&amp;IF(AND(I120="□",N120="□",S120="□"),"koriha_gengo_code:0:riha_seisin_code:0:koriha_other_code:0",IF(I120="■","koriha_gengo_code:2","koriha_gengo_code:1")
&amp;IF(N120="■",":riha_seisin_code:2",":riha_seisin_code:1")
&amp;IF(S120="■",":koriha_other_code:2",":koriha_other_code:1"))</f>
        <v>22:koriha_gengo_code:0:riha_seisin_code:0:koriha_other_code:0</v>
      </c>
    </row>
    <row r="121" spans="1:35" s="109" customFormat="1" ht="18.75" customHeight="1" x14ac:dyDescent="0.15">
      <c r="A121" s="97"/>
      <c r="B121" s="119"/>
      <c r="C121" s="99"/>
      <c r="D121" s="100"/>
      <c r="E121" s="101"/>
      <c r="F121" s="102"/>
      <c r="G121" s="101"/>
      <c r="H121" s="203" t="s">
        <v>94</v>
      </c>
      <c r="I121" s="135" t="s">
        <v>196</v>
      </c>
      <c r="J121" s="136" t="s">
        <v>153</v>
      </c>
      <c r="K121" s="137"/>
      <c r="L121" s="139" t="s">
        <v>196</v>
      </c>
      <c r="M121" s="136" t="s">
        <v>161</v>
      </c>
      <c r="N121" s="141"/>
      <c r="O121" s="141"/>
      <c r="P121" s="141"/>
      <c r="Q121" s="141"/>
      <c r="R121" s="141"/>
      <c r="S121" s="141"/>
      <c r="T121" s="141"/>
      <c r="U121" s="141"/>
      <c r="V121" s="141"/>
      <c r="W121" s="141"/>
      <c r="X121" s="142"/>
      <c r="Y121" s="134"/>
      <c r="Z121" s="95"/>
      <c r="AA121" s="95"/>
      <c r="AB121" s="96"/>
      <c r="AC121" s="347"/>
      <c r="AD121" s="347"/>
      <c r="AE121" s="347"/>
      <c r="AF121" s="347"/>
      <c r="AI121" s="109" t="str">
        <f>"22:ninticare_code:" &amp; IF(I121="■",1,IF(L121="■",2,0))</f>
        <v>22:ninticare_code:0</v>
      </c>
    </row>
    <row r="122" spans="1:35" s="109" customFormat="1" ht="18.75" customHeight="1" x14ac:dyDescent="0.15">
      <c r="A122" s="196" t="s">
        <v>196</v>
      </c>
      <c r="B122" s="119">
        <v>22</v>
      </c>
      <c r="C122" s="99" t="s">
        <v>125</v>
      </c>
      <c r="D122" s="197" t="s">
        <v>196</v>
      </c>
      <c r="E122" s="101" t="s">
        <v>191</v>
      </c>
      <c r="F122" s="102"/>
      <c r="G122" s="101"/>
      <c r="H122" s="203" t="s">
        <v>97</v>
      </c>
      <c r="I122" s="135" t="s">
        <v>196</v>
      </c>
      <c r="J122" s="136" t="s">
        <v>153</v>
      </c>
      <c r="K122" s="137"/>
      <c r="L122" s="139" t="s">
        <v>196</v>
      </c>
      <c r="M122" s="136" t="s">
        <v>161</v>
      </c>
      <c r="N122" s="141"/>
      <c r="O122" s="141"/>
      <c r="P122" s="141"/>
      <c r="Q122" s="141"/>
      <c r="R122" s="141"/>
      <c r="S122" s="141"/>
      <c r="T122" s="141"/>
      <c r="U122" s="141"/>
      <c r="V122" s="141"/>
      <c r="W122" s="141"/>
      <c r="X122" s="142"/>
      <c r="Y122" s="134"/>
      <c r="Z122" s="95"/>
      <c r="AA122" s="95"/>
      <c r="AB122" s="96"/>
      <c r="AC122" s="347"/>
      <c r="AD122" s="347"/>
      <c r="AE122" s="347"/>
      <c r="AF122" s="347"/>
      <c r="AI122" s="109" t="str">
        <f>"22:jyakuninti_uke_code:" &amp; IF(I122="■",1,IF(L122="■",2,0))</f>
        <v>22:jyakuninti_uke_code:0</v>
      </c>
    </row>
    <row r="123" spans="1:35" s="109" customFormat="1" ht="18.75" customHeight="1" x14ac:dyDescent="0.15">
      <c r="A123" s="97"/>
      <c r="B123" s="119"/>
      <c r="C123" s="99"/>
      <c r="D123" s="197" t="s">
        <v>196</v>
      </c>
      <c r="E123" s="101" t="s">
        <v>193</v>
      </c>
      <c r="F123" s="102"/>
      <c r="G123" s="101"/>
      <c r="H123" s="203" t="s">
        <v>90</v>
      </c>
      <c r="I123" s="135" t="s">
        <v>196</v>
      </c>
      <c r="J123" s="136" t="s">
        <v>159</v>
      </c>
      <c r="K123" s="137"/>
      <c r="L123" s="138"/>
      <c r="M123" s="139" t="s">
        <v>196</v>
      </c>
      <c r="N123" s="136" t="s">
        <v>160</v>
      </c>
      <c r="O123" s="141"/>
      <c r="P123" s="141"/>
      <c r="Q123" s="141"/>
      <c r="R123" s="141"/>
      <c r="S123" s="141"/>
      <c r="T123" s="141"/>
      <c r="U123" s="141"/>
      <c r="V123" s="141"/>
      <c r="W123" s="141"/>
      <c r="X123" s="142"/>
      <c r="Y123" s="134"/>
      <c r="Z123" s="95"/>
      <c r="AA123" s="95"/>
      <c r="AB123" s="96"/>
      <c r="AC123" s="347"/>
      <c r="AD123" s="347"/>
      <c r="AE123" s="347"/>
      <c r="AF123" s="347"/>
      <c r="AI123" s="109" t="str">
        <f>"22:sougei_code:" &amp; IF(I123="■",1,IF(M123="■",2,0))</f>
        <v>22:sougei_code:0</v>
      </c>
    </row>
    <row r="124" spans="1:35" s="109" customFormat="1" ht="18.75" customHeight="1" x14ac:dyDescent="0.15">
      <c r="A124" s="97"/>
      <c r="B124" s="119"/>
      <c r="C124" s="99"/>
      <c r="D124" s="100"/>
      <c r="E124" s="101"/>
      <c r="F124" s="102"/>
      <c r="G124" s="101"/>
      <c r="H124" s="203" t="s">
        <v>101</v>
      </c>
      <c r="I124" s="135" t="s">
        <v>196</v>
      </c>
      <c r="J124" s="136" t="s">
        <v>188</v>
      </c>
      <c r="K124" s="141"/>
      <c r="L124" s="141"/>
      <c r="M124" s="141"/>
      <c r="N124" s="141"/>
      <c r="O124" s="141"/>
      <c r="P124" s="139" t="s">
        <v>196</v>
      </c>
      <c r="Q124" s="136" t="s">
        <v>189</v>
      </c>
      <c r="R124" s="141"/>
      <c r="S124" s="212"/>
      <c r="T124" s="141"/>
      <c r="U124" s="141"/>
      <c r="V124" s="141"/>
      <c r="W124" s="141"/>
      <c r="X124" s="142"/>
      <c r="Y124" s="134"/>
      <c r="Z124" s="95"/>
      <c r="AA124" s="95"/>
      <c r="AB124" s="96"/>
      <c r="AC124" s="347"/>
      <c r="AD124" s="347"/>
      <c r="AE124" s="347"/>
      <c r="AF124" s="347"/>
      <c r="AI124" s="109" t="str">
        <f>"22:" &amp; IF(AND(I124="□",P124="□"),"tokusin_jyusho_code:0:tokusin_yakuzai_code:0",IF(I124="■","tokusin_jyusho_code:2","tokusin_jyusho_code:1")
&amp;IF(P124="■",":tokusin_yakuzai_code:2",":tokusin_yakuzai_code:1"))</f>
        <v>22:tokusin_jyusho_code:0:tokusin_yakuzai_code:0</v>
      </c>
    </row>
    <row r="125" spans="1:35" s="109" customFormat="1" ht="18.75" customHeight="1" x14ac:dyDescent="0.15">
      <c r="A125" s="97"/>
      <c r="B125" s="119"/>
      <c r="C125" s="99"/>
      <c r="D125" s="100"/>
      <c r="E125" s="101"/>
      <c r="F125" s="102"/>
      <c r="G125" s="101"/>
      <c r="H125" s="203" t="s">
        <v>117</v>
      </c>
      <c r="I125" s="135" t="s">
        <v>196</v>
      </c>
      <c r="J125" s="136" t="s">
        <v>153</v>
      </c>
      <c r="K125" s="137"/>
      <c r="L125" s="139" t="s">
        <v>196</v>
      </c>
      <c r="M125" s="136" t="s">
        <v>161</v>
      </c>
      <c r="N125" s="212"/>
      <c r="O125" s="212"/>
      <c r="P125" s="212"/>
      <c r="Q125" s="212"/>
      <c r="R125" s="212"/>
      <c r="S125" s="212"/>
      <c r="T125" s="212"/>
      <c r="U125" s="212"/>
      <c r="V125" s="212"/>
      <c r="W125" s="212"/>
      <c r="X125" s="178"/>
      <c r="Y125" s="134"/>
      <c r="Z125" s="95"/>
      <c r="AA125" s="95"/>
      <c r="AB125" s="96"/>
      <c r="AC125" s="347"/>
      <c r="AD125" s="347"/>
      <c r="AE125" s="347"/>
      <c r="AF125" s="347"/>
      <c r="AI125" s="109" t="str">
        <f>"22:field198:" &amp; IF(I125="■",1,IF(L125="■",2,0))</f>
        <v>22:field198:0</v>
      </c>
    </row>
    <row r="126" spans="1:35" s="109" customFormat="1" ht="18.75" customHeight="1" x14ac:dyDescent="0.15">
      <c r="A126" s="97"/>
      <c r="B126" s="119"/>
      <c r="C126" s="99"/>
      <c r="D126" s="100"/>
      <c r="E126" s="101"/>
      <c r="F126" s="102"/>
      <c r="G126" s="101"/>
      <c r="H126" s="203" t="s">
        <v>118</v>
      </c>
      <c r="I126" s="135" t="s">
        <v>196</v>
      </c>
      <c r="J126" s="136" t="s">
        <v>153</v>
      </c>
      <c r="K126" s="137"/>
      <c r="L126" s="139" t="s">
        <v>196</v>
      </c>
      <c r="M126" s="136" t="s">
        <v>161</v>
      </c>
      <c r="N126" s="212"/>
      <c r="O126" s="212"/>
      <c r="P126" s="212"/>
      <c r="Q126" s="212"/>
      <c r="R126" s="212"/>
      <c r="S126" s="212"/>
      <c r="T126" s="212"/>
      <c r="U126" s="212"/>
      <c r="V126" s="212"/>
      <c r="W126" s="212"/>
      <c r="X126" s="178"/>
      <c r="Y126" s="134"/>
      <c r="Z126" s="95"/>
      <c r="AA126" s="95"/>
      <c r="AB126" s="96"/>
      <c r="AC126" s="347"/>
      <c r="AD126" s="347"/>
      <c r="AE126" s="347"/>
      <c r="AF126" s="347"/>
      <c r="AI126" s="109" t="str">
        <f>"22:field199:" &amp; IF(I126="■",1,IF(L126="■",2,0))</f>
        <v>22:field199:0</v>
      </c>
    </row>
    <row r="127" spans="1:35" s="109" customFormat="1" ht="19.5" customHeight="1" x14ac:dyDescent="0.15">
      <c r="A127" s="97"/>
      <c r="B127" s="119"/>
      <c r="C127" s="99"/>
      <c r="D127" s="100"/>
      <c r="E127" s="101"/>
      <c r="F127" s="102"/>
      <c r="G127" s="103"/>
      <c r="H127" s="104" t="s">
        <v>217</v>
      </c>
      <c r="I127" s="135" t="s">
        <v>196</v>
      </c>
      <c r="J127" s="136" t="s">
        <v>153</v>
      </c>
      <c r="K127" s="136"/>
      <c r="L127" s="139" t="s">
        <v>196</v>
      </c>
      <c r="M127" s="136" t="s">
        <v>161</v>
      </c>
      <c r="N127" s="136"/>
      <c r="O127" s="141"/>
      <c r="P127" s="136"/>
      <c r="Q127" s="141"/>
      <c r="R127" s="141"/>
      <c r="S127" s="141"/>
      <c r="T127" s="141"/>
      <c r="U127" s="141"/>
      <c r="V127" s="141"/>
      <c r="W127" s="141"/>
      <c r="X127" s="142"/>
      <c r="Y127" s="95"/>
      <c r="Z127" s="95"/>
      <c r="AA127" s="95"/>
      <c r="AB127" s="96"/>
      <c r="AC127" s="347"/>
      <c r="AD127" s="347"/>
      <c r="AE127" s="347"/>
      <c r="AF127" s="347"/>
      <c r="AI127" s="109" t="str">
        <f>"22:field224:" &amp; IF(I127="■",1,IF(L127="■",2,0))</f>
        <v>22:field224:0</v>
      </c>
    </row>
    <row r="128" spans="1:35" s="109" customFormat="1" ht="18.75" customHeight="1" x14ac:dyDescent="0.15">
      <c r="A128" s="97"/>
      <c r="B128" s="119"/>
      <c r="C128" s="99"/>
      <c r="D128" s="100"/>
      <c r="E128" s="101"/>
      <c r="F128" s="102"/>
      <c r="G128" s="101"/>
      <c r="H128" s="203" t="s">
        <v>99</v>
      </c>
      <c r="I128" s="135" t="s">
        <v>196</v>
      </c>
      <c r="J128" s="136" t="s">
        <v>153</v>
      </c>
      <c r="K128" s="137"/>
      <c r="L128" s="139" t="s">
        <v>196</v>
      </c>
      <c r="M128" s="136" t="s">
        <v>161</v>
      </c>
      <c r="N128" s="141"/>
      <c r="O128" s="141"/>
      <c r="P128" s="141"/>
      <c r="Q128" s="141"/>
      <c r="R128" s="141"/>
      <c r="S128" s="141"/>
      <c r="T128" s="141"/>
      <c r="U128" s="141"/>
      <c r="V128" s="141"/>
      <c r="W128" s="141"/>
      <c r="X128" s="142"/>
      <c r="Y128" s="134"/>
      <c r="Z128" s="95"/>
      <c r="AA128" s="95"/>
      <c r="AB128" s="96"/>
      <c r="AC128" s="347"/>
      <c r="AD128" s="347"/>
      <c r="AE128" s="347"/>
      <c r="AF128" s="347"/>
      <c r="AI128" s="109" t="str">
        <f>"22:ryouyoushoku_code:" &amp; IF(I128="■",1,IF(L128="■",2,0))</f>
        <v>22:ryouyoushoku_code:0</v>
      </c>
    </row>
    <row r="129" spans="1:38" s="109" customFormat="1" ht="18.75" customHeight="1" x14ac:dyDescent="0.15">
      <c r="A129" s="97"/>
      <c r="B129" s="119"/>
      <c r="C129" s="99"/>
      <c r="D129" s="100"/>
      <c r="E129" s="101"/>
      <c r="F129" s="102"/>
      <c r="G129" s="101"/>
      <c r="H129" s="203" t="s">
        <v>122</v>
      </c>
      <c r="I129" s="135" t="s">
        <v>196</v>
      </c>
      <c r="J129" s="136" t="s">
        <v>153</v>
      </c>
      <c r="K129" s="136"/>
      <c r="L129" s="139" t="s">
        <v>196</v>
      </c>
      <c r="M129" s="136" t="s">
        <v>154</v>
      </c>
      <c r="N129" s="136"/>
      <c r="O129" s="139" t="s">
        <v>196</v>
      </c>
      <c r="P129" s="136" t="s">
        <v>155</v>
      </c>
      <c r="Q129" s="141"/>
      <c r="R129" s="141"/>
      <c r="S129" s="141"/>
      <c r="T129" s="141"/>
      <c r="U129" s="141"/>
      <c r="V129" s="141"/>
      <c r="W129" s="141"/>
      <c r="X129" s="142"/>
      <c r="Y129" s="134"/>
      <c r="Z129" s="95"/>
      <c r="AA129" s="95"/>
      <c r="AB129" s="96"/>
      <c r="AC129" s="347"/>
      <c r="AD129" s="347"/>
      <c r="AE129" s="347"/>
      <c r="AF129" s="347"/>
      <c r="AI129" s="109" t="str">
        <f>"22:ninti_senmoncare_code:" &amp; IF(I129="■",1,IF(O129="■",3,IF(L129="■",2,0)))</f>
        <v>22:ninti_senmoncare_code:0</v>
      </c>
    </row>
    <row r="130" spans="1:38" s="109" customFormat="1" ht="18.75" customHeight="1" x14ac:dyDescent="0.15">
      <c r="A130" s="97"/>
      <c r="B130" s="119"/>
      <c r="C130" s="99"/>
      <c r="D130" s="100"/>
      <c r="E130" s="101"/>
      <c r="F130" s="102"/>
      <c r="G130" s="101"/>
      <c r="H130" s="213" t="s">
        <v>224</v>
      </c>
      <c r="I130" s="135" t="s">
        <v>196</v>
      </c>
      <c r="J130" s="136" t="s">
        <v>153</v>
      </c>
      <c r="K130" s="136"/>
      <c r="L130" s="139" t="s">
        <v>196</v>
      </c>
      <c r="M130" s="136" t="s">
        <v>154</v>
      </c>
      <c r="N130" s="136"/>
      <c r="O130" s="139" t="s">
        <v>196</v>
      </c>
      <c r="P130" s="136" t="s">
        <v>155</v>
      </c>
      <c r="Q130" s="141"/>
      <c r="R130" s="141"/>
      <c r="S130" s="141"/>
      <c r="T130" s="141"/>
      <c r="U130" s="214"/>
      <c r="V130" s="214"/>
      <c r="W130" s="214"/>
      <c r="X130" s="215"/>
      <c r="Y130" s="134"/>
      <c r="Z130" s="95"/>
      <c r="AA130" s="95"/>
      <c r="AB130" s="96"/>
      <c r="AC130" s="347"/>
      <c r="AD130" s="347"/>
      <c r="AE130" s="347"/>
      <c r="AF130" s="347"/>
      <c r="AI130" s="109" t="str">
        <f>"22:field225:" &amp; IF(I130="■",1,IF(L130="■",2,IF(O130="■",3,0)))</f>
        <v>22:field225:0</v>
      </c>
    </row>
    <row r="131" spans="1:38" s="109" customFormat="1" ht="18.75" customHeight="1" x14ac:dyDescent="0.15">
      <c r="A131" s="97"/>
      <c r="B131" s="119"/>
      <c r="C131" s="99"/>
      <c r="D131" s="100"/>
      <c r="E131" s="101"/>
      <c r="F131" s="102"/>
      <c r="G131" s="101"/>
      <c r="H131" s="199" t="s">
        <v>103</v>
      </c>
      <c r="I131" s="135" t="s">
        <v>196</v>
      </c>
      <c r="J131" s="136" t="s">
        <v>153</v>
      </c>
      <c r="K131" s="136"/>
      <c r="L131" s="139" t="s">
        <v>196</v>
      </c>
      <c r="M131" s="136" t="s">
        <v>157</v>
      </c>
      <c r="N131" s="136"/>
      <c r="O131" s="139" t="s">
        <v>196</v>
      </c>
      <c r="P131" s="136" t="s">
        <v>158</v>
      </c>
      <c r="Q131" s="212"/>
      <c r="R131" s="139" t="s">
        <v>196</v>
      </c>
      <c r="S131" s="136" t="s">
        <v>167</v>
      </c>
      <c r="T131" s="212"/>
      <c r="U131" s="212"/>
      <c r="V131" s="212"/>
      <c r="W131" s="212"/>
      <c r="X131" s="178"/>
      <c r="Y131" s="134"/>
      <c r="Z131" s="95"/>
      <c r="AA131" s="95"/>
      <c r="AB131" s="96"/>
      <c r="AC131" s="347"/>
      <c r="AD131" s="347"/>
      <c r="AE131" s="347"/>
      <c r="AF131" s="347"/>
      <c r="AI131" s="109" t="str">
        <f>"22:serteikyo_kyoka_code:" &amp; IF(I131="■",1,IF(L131="■",6,IF(O131="■",5,IF(R131="■",7,0))))</f>
        <v>22:serteikyo_kyoka_code:0</v>
      </c>
    </row>
    <row r="132" spans="1:38" s="109" customFormat="1" ht="18.75" customHeight="1" x14ac:dyDescent="0.15">
      <c r="A132" s="97"/>
      <c r="B132" s="119"/>
      <c r="C132" s="99"/>
      <c r="D132" s="100"/>
      <c r="E132" s="101"/>
      <c r="F132" s="102"/>
      <c r="G132" s="101"/>
      <c r="H132" s="351" t="s">
        <v>238</v>
      </c>
      <c r="I132" s="388" t="s">
        <v>196</v>
      </c>
      <c r="J132" s="389" t="s">
        <v>153</v>
      </c>
      <c r="K132" s="389"/>
      <c r="L132" s="390" t="s">
        <v>196</v>
      </c>
      <c r="M132" s="389" t="s">
        <v>161</v>
      </c>
      <c r="N132" s="389"/>
      <c r="O132" s="147"/>
      <c r="P132" s="147"/>
      <c r="Q132" s="147"/>
      <c r="R132" s="147"/>
      <c r="S132" s="147"/>
      <c r="T132" s="147"/>
      <c r="U132" s="147"/>
      <c r="V132" s="147"/>
      <c r="W132" s="147"/>
      <c r="X132" s="151"/>
      <c r="Y132" s="134"/>
      <c r="Z132" s="95"/>
      <c r="AA132" s="95"/>
      <c r="AB132" s="96"/>
      <c r="AC132" s="347"/>
      <c r="AD132" s="347"/>
      <c r="AE132" s="347"/>
      <c r="AF132" s="347"/>
      <c r="AI132" s="109" t="str">
        <f>"22:field221:" &amp; IF(I132="■",1,IF(L132="■",2,0))</f>
        <v>22:field221:0</v>
      </c>
    </row>
    <row r="133" spans="1:38" s="109" customFormat="1" ht="18.75" customHeight="1" x14ac:dyDescent="0.15">
      <c r="A133" s="97"/>
      <c r="B133" s="119"/>
      <c r="C133" s="99"/>
      <c r="D133" s="100"/>
      <c r="E133" s="101"/>
      <c r="F133" s="102"/>
      <c r="G133" s="101"/>
      <c r="H133" s="352"/>
      <c r="I133" s="388"/>
      <c r="J133" s="389"/>
      <c r="K133" s="389"/>
      <c r="L133" s="390"/>
      <c r="M133" s="389"/>
      <c r="N133" s="389"/>
      <c r="O133" s="105"/>
      <c r="P133" s="105"/>
      <c r="Q133" s="105"/>
      <c r="R133" s="105"/>
      <c r="S133" s="105"/>
      <c r="T133" s="105"/>
      <c r="U133" s="105"/>
      <c r="V133" s="105"/>
      <c r="W133" s="105"/>
      <c r="X133" s="149"/>
      <c r="Y133" s="134"/>
      <c r="Z133" s="95"/>
      <c r="AA133" s="95"/>
      <c r="AB133" s="96"/>
      <c r="AC133" s="347"/>
      <c r="AD133" s="347"/>
      <c r="AE133" s="347"/>
      <c r="AF133" s="347"/>
    </row>
    <row r="134" spans="1:38" s="109" customFormat="1" ht="18.75" customHeight="1" x14ac:dyDescent="0.15">
      <c r="A134" s="156"/>
      <c r="B134" s="231"/>
      <c r="C134" s="158"/>
      <c r="D134" s="159"/>
      <c r="E134" s="160"/>
      <c r="F134" s="161"/>
      <c r="G134" s="162"/>
      <c r="H134" s="85" t="s">
        <v>234</v>
      </c>
      <c r="I134" s="163" t="s">
        <v>196</v>
      </c>
      <c r="J134" s="86" t="s">
        <v>153</v>
      </c>
      <c r="K134" s="86"/>
      <c r="L134" s="164" t="s">
        <v>196</v>
      </c>
      <c r="M134" s="86" t="s">
        <v>218</v>
      </c>
      <c r="N134" s="87"/>
      <c r="O134" s="164" t="s">
        <v>196</v>
      </c>
      <c r="P134" s="89" t="s">
        <v>219</v>
      </c>
      <c r="Q134" s="88"/>
      <c r="R134" s="164" t="s">
        <v>196</v>
      </c>
      <c r="S134" s="86" t="s">
        <v>220</v>
      </c>
      <c r="T134" s="88"/>
      <c r="U134" s="164" t="s">
        <v>196</v>
      </c>
      <c r="V134" s="86" t="s">
        <v>221</v>
      </c>
      <c r="W134" s="90"/>
      <c r="X134" s="91"/>
      <c r="Y134" s="165"/>
      <c r="Z134" s="165"/>
      <c r="AA134" s="165"/>
      <c r="AB134" s="166"/>
      <c r="AC134" s="348"/>
      <c r="AD134" s="348"/>
      <c r="AE134" s="348"/>
      <c r="AF134" s="348"/>
      <c r="AI134" s="109" t="str">
        <f>"22:shoguukaizen_code:"&amp;IF(I134="■",1,IF(L134="■",7,IF(O134="■",8,IF(R134="■",9,IF(U134="■","A",0)))))</f>
        <v>22:shoguukaizen_code:0</v>
      </c>
    </row>
    <row r="135" spans="1:38" s="109" customFormat="1" ht="18.75" customHeight="1" x14ac:dyDescent="0.15">
      <c r="A135" s="122"/>
      <c r="B135" s="123"/>
      <c r="C135" s="124"/>
      <c r="D135" s="125"/>
      <c r="E135" s="117"/>
      <c r="F135" s="125"/>
      <c r="G135" s="127"/>
      <c r="H135" s="201" t="s">
        <v>92</v>
      </c>
      <c r="I135" s="167" t="s">
        <v>196</v>
      </c>
      <c r="J135" s="168" t="s">
        <v>179</v>
      </c>
      <c r="K135" s="169"/>
      <c r="L135" s="170"/>
      <c r="M135" s="171" t="s">
        <v>196</v>
      </c>
      <c r="N135" s="168" t="s">
        <v>180</v>
      </c>
      <c r="O135" s="172"/>
      <c r="P135" s="172"/>
      <c r="Q135" s="172"/>
      <c r="R135" s="172"/>
      <c r="S135" s="172"/>
      <c r="T135" s="172"/>
      <c r="U135" s="172"/>
      <c r="V135" s="172"/>
      <c r="W135" s="172"/>
      <c r="X135" s="173"/>
      <c r="Y135" s="225" t="s">
        <v>196</v>
      </c>
      <c r="Z135" s="115" t="s">
        <v>152</v>
      </c>
      <c r="AA135" s="115"/>
      <c r="AB135" s="128"/>
      <c r="AC135" s="346"/>
      <c r="AD135" s="346"/>
      <c r="AE135" s="346"/>
      <c r="AF135" s="346"/>
      <c r="AG135" s="109" t="str">
        <f>"ser_code = '" &amp; IF(A144="■",22,"") &amp; "'"</f>
        <v>ser_code = ''</v>
      </c>
      <c r="AI135" s="109" t="str">
        <f>"22:yakan_kinmu_code:" &amp; IF(I135="■",1,IF(M135="■",6,0))</f>
        <v>22:yakan_kinmu_code:0</v>
      </c>
      <c r="AJ135" s="109" t="str">
        <f>"22:field203:" &amp; IF(Y135="■",1,IF(Y136="■",2,0))</f>
        <v>22:field203:0</v>
      </c>
    </row>
    <row r="136" spans="1:38" s="109" customFormat="1" ht="18.75" customHeight="1" x14ac:dyDescent="0.15">
      <c r="A136" s="97"/>
      <c r="B136" s="119"/>
      <c r="C136" s="99"/>
      <c r="D136" s="100"/>
      <c r="E136" s="101"/>
      <c r="F136" s="100"/>
      <c r="G136" s="103"/>
      <c r="H136" s="349" t="s">
        <v>121</v>
      </c>
      <c r="I136" s="175" t="s">
        <v>196</v>
      </c>
      <c r="J136" s="147" t="s">
        <v>153</v>
      </c>
      <c r="K136" s="147"/>
      <c r="L136" s="183"/>
      <c r="M136" s="189" t="s">
        <v>196</v>
      </c>
      <c r="N136" s="147" t="s">
        <v>168</v>
      </c>
      <c r="O136" s="147"/>
      <c r="P136" s="183"/>
      <c r="Q136" s="189" t="s">
        <v>196</v>
      </c>
      <c r="R136" s="179" t="s">
        <v>169</v>
      </c>
      <c r="S136" s="179"/>
      <c r="T136" s="179"/>
      <c r="U136" s="189" t="s">
        <v>196</v>
      </c>
      <c r="V136" s="179" t="s">
        <v>170</v>
      </c>
      <c r="W136" s="179"/>
      <c r="X136" s="228"/>
      <c r="Y136" s="197" t="s">
        <v>196</v>
      </c>
      <c r="Z136" s="94" t="s">
        <v>156</v>
      </c>
      <c r="AA136" s="95"/>
      <c r="AB136" s="96"/>
      <c r="AC136" s="347"/>
      <c r="AD136" s="347"/>
      <c r="AE136" s="347"/>
      <c r="AF136" s="347"/>
      <c r="AG136" s="109" t="str">
        <f>"22:sisetukbn_code:" &amp; IF(D144="■",9,0)</f>
        <v>22:sisetukbn_code:0</v>
      </c>
      <c r="AI136" s="109" t="str">
        <f>"22:"&amp;IF(AND(I136="□",M136="□",Q136="□",U136="□",I137="□",M137="□",Q137="□"),"ketu_doctor_code:0",IF(I136="■","ketu_doctor_code:1:ketu_kangos_code:1:ketu_kshoku_code:1:ketu_rryoho_code:1:ketu_sryoho_code:1:ketu_gengo_code:1",
IF(M136="■","ketu_doctor_code:2","ketu_doctor_code:1")
&amp;IF(Q136="■",":ketu_kangos_code:2",":ketu_kangos_code:1")
&amp;IF(U136="■",":ketu_kshoku_code:2",":ketu_kshoku_code:1")
&amp;IF(I137="■",":ketu_rryoho_code:2",":ketu_rryoho_code:1")
&amp;IF(M137="■",":ketu_sryoho_code:2",":ketu_sryoho_code:1")
&amp;IF(Q137="■",":ketu_gengo_code:2",":ketu_gengo_code:1")))</f>
        <v>22:ketu_doctor_code:0</v>
      </c>
    </row>
    <row r="137" spans="1:38" s="109" customFormat="1" ht="18.75" customHeight="1" x14ac:dyDescent="0.15">
      <c r="A137" s="97"/>
      <c r="B137" s="119"/>
      <c r="C137" s="99"/>
      <c r="D137" s="100"/>
      <c r="E137" s="101"/>
      <c r="F137" s="100"/>
      <c r="G137" s="103"/>
      <c r="H137" s="350"/>
      <c r="I137" s="152" t="s">
        <v>196</v>
      </c>
      <c r="J137" s="105" t="s">
        <v>171</v>
      </c>
      <c r="K137" s="105"/>
      <c r="L137" s="106"/>
      <c r="M137" s="191" t="s">
        <v>196</v>
      </c>
      <c r="N137" s="105" t="s">
        <v>172</v>
      </c>
      <c r="O137" s="105"/>
      <c r="P137" s="106"/>
      <c r="Q137" s="191" t="s">
        <v>196</v>
      </c>
      <c r="R137" s="148" t="s">
        <v>173</v>
      </c>
      <c r="S137" s="148"/>
      <c r="T137" s="148"/>
      <c r="U137" s="148"/>
      <c r="V137" s="148"/>
      <c r="W137" s="148"/>
      <c r="X137" s="229"/>
      <c r="Y137" s="134"/>
      <c r="Z137" s="95"/>
      <c r="AA137" s="95"/>
      <c r="AB137" s="96"/>
      <c r="AC137" s="347"/>
      <c r="AD137" s="347"/>
      <c r="AE137" s="347"/>
      <c r="AF137" s="347"/>
    </row>
    <row r="138" spans="1:38" s="109" customFormat="1" ht="18.75" customHeight="1" x14ac:dyDescent="0.15">
      <c r="A138" s="97"/>
      <c r="B138" s="119"/>
      <c r="C138" s="99"/>
      <c r="D138" s="100"/>
      <c r="E138" s="101"/>
      <c r="F138" s="100"/>
      <c r="G138" s="103"/>
      <c r="H138" s="203" t="s">
        <v>93</v>
      </c>
      <c r="I138" s="135" t="s">
        <v>196</v>
      </c>
      <c r="J138" s="136" t="s">
        <v>159</v>
      </c>
      <c r="K138" s="137"/>
      <c r="L138" s="138"/>
      <c r="M138" s="139" t="s">
        <v>196</v>
      </c>
      <c r="N138" s="136" t="s">
        <v>160</v>
      </c>
      <c r="O138" s="141"/>
      <c r="P138" s="141"/>
      <c r="Q138" s="141"/>
      <c r="R138" s="141"/>
      <c r="S138" s="141"/>
      <c r="T138" s="141"/>
      <c r="U138" s="141"/>
      <c r="V138" s="141"/>
      <c r="W138" s="141"/>
      <c r="X138" s="142"/>
      <c r="Y138" s="134"/>
      <c r="Z138" s="95"/>
      <c r="AA138" s="95"/>
      <c r="AB138" s="96"/>
      <c r="AC138" s="347"/>
      <c r="AD138" s="347"/>
      <c r="AE138" s="347"/>
      <c r="AF138" s="347"/>
      <c r="AI138" s="109" t="str">
        <f>"22:unitcare_code:" &amp; IF(I138="■",1,IF(M138="■",2,0))</f>
        <v>22:unitcare_code:0</v>
      </c>
    </row>
    <row r="139" spans="1:38" s="109" customFormat="1" ht="18.75" customHeight="1" x14ac:dyDescent="0.15">
      <c r="A139" s="97"/>
      <c r="B139" s="119"/>
      <c r="C139" s="210"/>
      <c r="D139" s="211"/>
      <c r="E139" s="101"/>
      <c r="F139" s="102"/>
      <c r="G139" s="103"/>
      <c r="H139" s="203" t="s">
        <v>96</v>
      </c>
      <c r="I139" s="135" t="s">
        <v>196</v>
      </c>
      <c r="J139" s="136" t="s">
        <v>197</v>
      </c>
      <c r="K139" s="137"/>
      <c r="L139" s="138"/>
      <c r="M139" s="139" t="s">
        <v>196</v>
      </c>
      <c r="N139" s="136" t="s">
        <v>198</v>
      </c>
      <c r="O139" s="137"/>
      <c r="P139" s="137"/>
      <c r="Q139" s="137"/>
      <c r="R139" s="137"/>
      <c r="S139" s="137"/>
      <c r="T139" s="137"/>
      <c r="U139" s="137"/>
      <c r="V139" s="137"/>
      <c r="W139" s="137"/>
      <c r="X139" s="145"/>
      <c r="Y139" s="134"/>
      <c r="Z139" s="95"/>
      <c r="AA139" s="95"/>
      <c r="AB139" s="96"/>
      <c r="AC139" s="347"/>
      <c r="AD139" s="347"/>
      <c r="AE139" s="347"/>
      <c r="AF139" s="347"/>
      <c r="AI139" s="109" t="str">
        <f>"22:sintaikousoku_code:" &amp; IF(I139="■",1,IF(M139="■",2,0))</f>
        <v>22:sintaikousoku_code:0</v>
      </c>
    </row>
    <row r="140" spans="1:38" s="109" customFormat="1" ht="19.5" customHeight="1" x14ac:dyDescent="0.15">
      <c r="A140" s="97"/>
      <c r="B140" s="119"/>
      <c r="C140" s="99"/>
      <c r="D140" s="100"/>
      <c r="E140" s="101"/>
      <c r="F140" s="102"/>
      <c r="G140" s="103"/>
      <c r="H140" s="104" t="s">
        <v>215</v>
      </c>
      <c r="I140" s="135" t="s">
        <v>196</v>
      </c>
      <c r="J140" s="136" t="s">
        <v>197</v>
      </c>
      <c r="K140" s="137"/>
      <c r="L140" s="138"/>
      <c r="M140" s="139" t="s">
        <v>196</v>
      </c>
      <c r="N140" s="136" t="s">
        <v>216</v>
      </c>
      <c r="O140" s="140"/>
      <c r="P140" s="136"/>
      <c r="Q140" s="141"/>
      <c r="R140" s="141"/>
      <c r="S140" s="141"/>
      <c r="T140" s="141"/>
      <c r="U140" s="141"/>
      <c r="V140" s="141"/>
      <c r="W140" s="141"/>
      <c r="X140" s="142"/>
      <c r="Y140" s="95"/>
      <c r="Z140" s="95"/>
      <c r="AA140" s="95"/>
      <c r="AB140" s="96"/>
      <c r="AC140" s="347"/>
      <c r="AD140" s="347"/>
      <c r="AE140" s="347"/>
      <c r="AF140" s="347"/>
      <c r="AI140" s="109" t="str">
        <f>"22:field223:" &amp; IF(I140="■",1,IF(M140="■",2,0))</f>
        <v>22:field223:0</v>
      </c>
    </row>
    <row r="141" spans="1:38" s="109" customFormat="1" ht="19.5" customHeight="1" x14ac:dyDescent="0.15">
      <c r="A141" s="97"/>
      <c r="B141" s="119"/>
      <c r="C141" s="99"/>
      <c r="D141" s="100"/>
      <c r="E141" s="101"/>
      <c r="F141" s="102"/>
      <c r="G141" s="103"/>
      <c r="H141" s="104" t="s">
        <v>226</v>
      </c>
      <c r="I141" s="135" t="s">
        <v>196</v>
      </c>
      <c r="J141" s="136" t="s">
        <v>197</v>
      </c>
      <c r="K141" s="137"/>
      <c r="L141" s="138"/>
      <c r="M141" s="139" t="s">
        <v>196</v>
      </c>
      <c r="N141" s="136" t="s">
        <v>216</v>
      </c>
      <c r="O141" s="140"/>
      <c r="P141" s="136"/>
      <c r="Q141" s="141"/>
      <c r="R141" s="141"/>
      <c r="S141" s="141"/>
      <c r="T141" s="141"/>
      <c r="U141" s="141"/>
      <c r="V141" s="141"/>
      <c r="W141" s="141"/>
      <c r="X141" s="142"/>
      <c r="Y141" s="95"/>
      <c r="Z141" s="95"/>
      <c r="AA141" s="95"/>
      <c r="AB141" s="96"/>
      <c r="AC141" s="347"/>
      <c r="AD141" s="347"/>
      <c r="AE141" s="347"/>
      <c r="AF141" s="347"/>
      <c r="AI141" s="109" t="str">
        <f>"22:field232:" &amp; IF(I141="■",1,IF(M141="■",2,0))</f>
        <v>22:field232:0</v>
      </c>
    </row>
    <row r="142" spans="1:38" ht="19.5" customHeight="1" x14ac:dyDescent="0.15">
      <c r="A142" s="97"/>
      <c r="B142" s="119"/>
      <c r="C142" s="99"/>
      <c r="D142" s="100"/>
      <c r="E142" s="101"/>
      <c r="F142" s="102"/>
      <c r="G142" s="103"/>
      <c r="H142" s="104" t="s">
        <v>251</v>
      </c>
      <c r="I142" s="135" t="s">
        <v>196</v>
      </c>
      <c r="J142" s="105" t="s">
        <v>249</v>
      </c>
      <c r="K142" s="154"/>
      <c r="L142" s="106"/>
      <c r="M142" s="139" t="s">
        <v>196</v>
      </c>
      <c r="N142" s="105" t="s">
        <v>250</v>
      </c>
      <c r="O142" s="208"/>
      <c r="P142" s="105"/>
      <c r="Q142" s="132"/>
      <c r="R142" s="132"/>
      <c r="S142" s="132"/>
      <c r="T142" s="132"/>
      <c r="U142" s="132"/>
      <c r="V142" s="132"/>
      <c r="W142" s="132"/>
      <c r="X142" s="133"/>
      <c r="Y142" s="150"/>
      <c r="Z142" s="94"/>
      <c r="AA142" s="95"/>
      <c r="AB142" s="96"/>
      <c r="AC142" s="347"/>
      <c r="AD142" s="347"/>
      <c r="AE142" s="347"/>
      <c r="AF142" s="347"/>
      <c r="AG142" s="146"/>
      <c r="AH142" s="146"/>
      <c r="AI142" s="109" t="str">
        <f>"22:field242:" &amp; IF(I142="■",1,IF(M142="■",2,0))</f>
        <v>22:field242:0</v>
      </c>
      <c r="AJ142" s="146"/>
      <c r="AK142" s="146"/>
      <c r="AL142" s="146"/>
    </row>
    <row r="143" spans="1:38" s="109" customFormat="1" ht="18.75" customHeight="1" x14ac:dyDescent="0.15">
      <c r="A143" s="97"/>
      <c r="B143" s="119"/>
      <c r="C143" s="99"/>
      <c r="D143" s="100"/>
      <c r="E143" s="101"/>
      <c r="F143" s="100"/>
      <c r="G143" s="103"/>
      <c r="H143" s="203" t="s">
        <v>98</v>
      </c>
      <c r="I143" s="135" t="s">
        <v>196</v>
      </c>
      <c r="J143" s="136" t="s">
        <v>153</v>
      </c>
      <c r="K143" s="137"/>
      <c r="L143" s="139" t="s">
        <v>196</v>
      </c>
      <c r="M143" s="136" t="s">
        <v>161</v>
      </c>
      <c r="N143" s="141"/>
      <c r="O143" s="141"/>
      <c r="P143" s="141"/>
      <c r="Q143" s="141"/>
      <c r="R143" s="141"/>
      <c r="S143" s="141"/>
      <c r="T143" s="141"/>
      <c r="U143" s="141"/>
      <c r="V143" s="141"/>
      <c r="W143" s="141"/>
      <c r="X143" s="142"/>
      <c r="Y143" s="134"/>
      <c r="Z143" s="95"/>
      <c r="AA143" s="95"/>
      <c r="AB143" s="96"/>
      <c r="AC143" s="347"/>
      <c r="AD143" s="347"/>
      <c r="AE143" s="347"/>
      <c r="AF143" s="347"/>
      <c r="AI143" s="109" t="str">
        <f>"22:yakinhaiti_code:" &amp; IF(I143="■",1,IF(L143="■",2,0))</f>
        <v>22:yakinhaiti_code:0</v>
      </c>
    </row>
    <row r="144" spans="1:38" s="109" customFormat="1" ht="18.75" customHeight="1" x14ac:dyDescent="0.15">
      <c r="A144" s="196" t="s">
        <v>196</v>
      </c>
      <c r="B144" s="119">
        <v>22</v>
      </c>
      <c r="C144" s="99" t="s">
        <v>125</v>
      </c>
      <c r="D144" s="197" t="s">
        <v>196</v>
      </c>
      <c r="E144" s="101" t="s">
        <v>194</v>
      </c>
      <c r="F144" s="100"/>
      <c r="G144" s="103"/>
      <c r="H144" s="203" t="s">
        <v>94</v>
      </c>
      <c r="I144" s="135" t="s">
        <v>196</v>
      </c>
      <c r="J144" s="136" t="s">
        <v>153</v>
      </c>
      <c r="K144" s="137"/>
      <c r="L144" s="139" t="s">
        <v>196</v>
      </c>
      <c r="M144" s="136" t="s">
        <v>161</v>
      </c>
      <c r="N144" s="141"/>
      <c r="O144" s="141"/>
      <c r="P144" s="141"/>
      <c r="Q144" s="141"/>
      <c r="R144" s="141"/>
      <c r="S144" s="141"/>
      <c r="T144" s="141"/>
      <c r="U144" s="141"/>
      <c r="V144" s="141"/>
      <c r="W144" s="141"/>
      <c r="X144" s="142"/>
      <c r="Y144" s="134"/>
      <c r="Z144" s="95"/>
      <c r="AA144" s="95"/>
      <c r="AB144" s="96"/>
      <c r="AC144" s="347"/>
      <c r="AD144" s="347"/>
      <c r="AE144" s="347"/>
      <c r="AF144" s="347"/>
      <c r="AI144" s="109" t="str">
        <f>"22:ninticare_code:" &amp; IF(I144="■",1,IF(L144="■",2,0))</f>
        <v>22:ninticare_code:0</v>
      </c>
    </row>
    <row r="145" spans="1:36" s="109" customFormat="1" ht="18.75" customHeight="1" x14ac:dyDescent="0.15">
      <c r="A145" s="97"/>
      <c r="B145" s="119"/>
      <c r="C145" s="99"/>
      <c r="D145" s="100"/>
      <c r="E145" s="101"/>
      <c r="F145" s="100"/>
      <c r="G145" s="103"/>
      <c r="H145" s="203" t="s">
        <v>97</v>
      </c>
      <c r="I145" s="135" t="s">
        <v>196</v>
      </c>
      <c r="J145" s="136" t="s">
        <v>153</v>
      </c>
      <c r="K145" s="137"/>
      <c r="L145" s="139" t="s">
        <v>196</v>
      </c>
      <c r="M145" s="136" t="s">
        <v>161</v>
      </c>
      <c r="N145" s="141"/>
      <c r="O145" s="141"/>
      <c r="P145" s="141"/>
      <c r="Q145" s="141"/>
      <c r="R145" s="141"/>
      <c r="S145" s="141"/>
      <c r="T145" s="141"/>
      <c r="U145" s="141"/>
      <c r="V145" s="141"/>
      <c r="W145" s="141"/>
      <c r="X145" s="142"/>
      <c r="Y145" s="134"/>
      <c r="Z145" s="95"/>
      <c r="AA145" s="95"/>
      <c r="AB145" s="96"/>
      <c r="AC145" s="347"/>
      <c r="AD145" s="347"/>
      <c r="AE145" s="347"/>
      <c r="AF145" s="347"/>
      <c r="AI145" s="109" t="str">
        <f>"22:jyakuninti_uke_code:" &amp; IF(I145="■",1,IF(L145="■",2,0))</f>
        <v>22:jyakuninti_uke_code:0</v>
      </c>
    </row>
    <row r="146" spans="1:36" s="109" customFormat="1" ht="18.75" customHeight="1" x14ac:dyDescent="0.15">
      <c r="A146" s="97"/>
      <c r="B146" s="119"/>
      <c r="C146" s="99"/>
      <c r="D146" s="100"/>
      <c r="E146" s="101"/>
      <c r="F146" s="100"/>
      <c r="G146" s="103"/>
      <c r="H146" s="203" t="s">
        <v>90</v>
      </c>
      <c r="I146" s="135" t="s">
        <v>196</v>
      </c>
      <c r="J146" s="136" t="s">
        <v>159</v>
      </c>
      <c r="K146" s="137"/>
      <c r="L146" s="138"/>
      <c r="M146" s="139" t="s">
        <v>196</v>
      </c>
      <c r="N146" s="136" t="s">
        <v>160</v>
      </c>
      <c r="O146" s="141"/>
      <c r="P146" s="141"/>
      <c r="Q146" s="141"/>
      <c r="R146" s="141"/>
      <c r="S146" s="141"/>
      <c r="T146" s="141"/>
      <c r="U146" s="141"/>
      <c r="V146" s="141"/>
      <c r="W146" s="141"/>
      <c r="X146" s="142"/>
      <c r="Y146" s="134"/>
      <c r="Z146" s="95"/>
      <c r="AA146" s="95"/>
      <c r="AB146" s="96"/>
      <c r="AC146" s="347"/>
      <c r="AD146" s="347"/>
      <c r="AE146" s="347"/>
      <c r="AF146" s="347"/>
      <c r="AI146" s="109" t="str">
        <f>"22:sougei_code:" &amp; IF(I146="■",1,IF(M146="■",2,0))</f>
        <v>22:sougei_code:0</v>
      </c>
    </row>
    <row r="147" spans="1:36" s="109" customFormat="1" ht="19.5" customHeight="1" x14ac:dyDescent="0.15">
      <c r="A147" s="97"/>
      <c r="B147" s="119"/>
      <c r="C147" s="99"/>
      <c r="D147" s="100"/>
      <c r="E147" s="101"/>
      <c r="F147" s="102"/>
      <c r="G147" s="103"/>
      <c r="H147" s="104" t="s">
        <v>217</v>
      </c>
      <c r="I147" s="135" t="s">
        <v>196</v>
      </c>
      <c r="J147" s="136" t="s">
        <v>153</v>
      </c>
      <c r="K147" s="136"/>
      <c r="L147" s="139" t="s">
        <v>196</v>
      </c>
      <c r="M147" s="136" t="s">
        <v>161</v>
      </c>
      <c r="N147" s="136"/>
      <c r="O147" s="141"/>
      <c r="P147" s="136"/>
      <c r="Q147" s="141"/>
      <c r="R147" s="141"/>
      <c r="S147" s="141"/>
      <c r="T147" s="141"/>
      <c r="U147" s="141"/>
      <c r="V147" s="141"/>
      <c r="W147" s="141"/>
      <c r="X147" s="142"/>
      <c r="Y147" s="95"/>
      <c r="Z147" s="95"/>
      <c r="AA147" s="95"/>
      <c r="AB147" s="96"/>
      <c r="AC147" s="347"/>
      <c r="AD147" s="347"/>
      <c r="AE147" s="347"/>
      <c r="AF147" s="347"/>
      <c r="AI147" s="109" t="str">
        <f>"22:field224:" &amp; IF(I147="■",1,IF(L147="■",2,0))</f>
        <v>22:field224:0</v>
      </c>
    </row>
    <row r="148" spans="1:36" s="109" customFormat="1" ht="18.75" customHeight="1" x14ac:dyDescent="0.15">
      <c r="A148" s="97"/>
      <c r="B148" s="119"/>
      <c r="C148" s="99"/>
      <c r="D148" s="100"/>
      <c r="E148" s="101"/>
      <c r="F148" s="100"/>
      <c r="G148" s="103"/>
      <c r="H148" s="203" t="s">
        <v>99</v>
      </c>
      <c r="I148" s="135" t="s">
        <v>196</v>
      </c>
      <c r="J148" s="136" t="s">
        <v>153</v>
      </c>
      <c r="K148" s="137"/>
      <c r="L148" s="139" t="s">
        <v>196</v>
      </c>
      <c r="M148" s="136" t="s">
        <v>161</v>
      </c>
      <c r="N148" s="141"/>
      <c r="O148" s="141"/>
      <c r="P148" s="141"/>
      <c r="Q148" s="141"/>
      <c r="R148" s="141"/>
      <c r="S148" s="141"/>
      <c r="T148" s="141"/>
      <c r="U148" s="141"/>
      <c r="V148" s="141"/>
      <c r="W148" s="141"/>
      <c r="X148" s="142"/>
      <c r="Y148" s="134"/>
      <c r="Z148" s="95"/>
      <c r="AA148" s="95"/>
      <c r="AB148" s="96"/>
      <c r="AC148" s="347"/>
      <c r="AD148" s="347"/>
      <c r="AE148" s="347"/>
      <c r="AF148" s="347"/>
      <c r="AI148" s="109" t="str">
        <f>"22:ryouyoushoku_code:" &amp; IF(I148="■",1,IF(L148="■",2,0))</f>
        <v>22:ryouyoushoku_code:0</v>
      </c>
    </row>
    <row r="149" spans="1:36" s="109" customFormat="1" ht="18.75" customHeight="1" x14ac:dyDescent="0.15">
      <c r="A149" s="97"/>
      <c r="B149" s="119"/>
      <c r="C149" s="99"/>
      <c r="D149" s="100"/>
      <c r="E149" s="101"/>
      <c r="F149" s="100"/>
      <c r="G149" s="103"/>
      <c r="H149" s="203" t="s">
        <v>122</v>
      </c>
      <c r="I149" s="135" t="s">
        <v>196</v>
      </c>
      <c r="J149" s="136" t="s">
        <v>153</v>
      </c>
      <c r="K149" s="136"/>
      <c r="L149" s="139" t="s">
        <v>196</v>
      </c>
      <c r="M149" s="136" t="s">
        <v>154</v>
      </c>
      <c r="N149" s="136"/>
      <c r="O149" s="139" t="s">
        <v>196</v>
      </c>
      <c r="P149" s="136" t="s">
        <v>155</v>
      </c>
      <c r="Q149" s="141"/>
      <c r="R149" s="141"/>
      <c r="S149" s="141"/>
      <c r="T149" s="141"/>
      <c r="U149" s="141"/>
      <c r="V149" s="141"/>
      <c r="W149" s="141"/>
      <c r="X149" s="142"/>
      <c r="Y149" s="134"/>
      <c r="Z149" s="95"/>
      <c r="AA149" s="95"/>
      <c r="AB149" s="96"/>
      <c r="AC149" s="347"/>
      <c r="AD149" s="347"/>
      <c r="AE149" s="347"/>
      <c r="AF149" s="347"/>
      <c r="AI149" s="109" t="str">
        <f>"22:ninti_senmoncare_code:" &amp; IF(I149="■",1,IF(O149="■",3,IF(L149="■",2,0)))</f>
        <v>22:ninti_senmoncare_code:0</v>
      </c>
    </row>
    <row r="150" spans="1:36" s="109" customFormat="1" ht="18.75" customHeight="1" x14ac:dyDescent="0.15">
      <c r="A150" s="97"/>
      <c r="B150" s="119"/>
      <c r="C150" s="99"/>
      <c r="D150" s="100"/>
      <c r="E150" s="101"/>
      <c r="F150" s="100"/>
      <c r="G150" s="103"/>
      <c r="H150" s="213" t="s">
        <v>224</v>
      </c>
      <c r="I150" s="135" t="s">
        <v>196</v>
      </c>
      <c r="J150" s="136" t="s">
        <v>153</v>
      </c>
      <c r="K150" s="136"/>
      <c r="L150" s="139" t="s">
        <v>196</v>
      </c>
      <c r="M150" s="136" t="s">
        <v>154</v>
      </c>
      <c r="N150" s="136"/>
      <c r="O150" s="139" t="s">
        <v>196</v>
      </c>
      <c r="P150" s="136" t="s">
        <v>155</v>
      </c>
      <c r="Q150" s="141"/>
      <c r="R150" s="141"/>
      <c r="S150" s="141"/>
      <c r="T150" s="141"/>
      <c r="U150" s="214"/>
      <c r="V150" s="214"/>
      <c r="W150" s="214"/>
      <c r="X150" s="215"/>
      <c r="Y150" s="134"/>
      <c r="Z150" s="95"/>
      <c r="AA150" s="95"/>
      <c r="AB150" s="96"/>
      <c r="AC150" s="347"/>
      <c r="AD150" s="347"/>
      <c r="AE150" s="347"/>
      <c r="AF150" s="347"/>
      <c r="AI150" s="109" t="str">
        <f>"22:field225:" &amp; IF(I150="■",1,IF(L150="■",2,IF(O150="■",3,0)))</f>
        <v>22:field225:0</v>
      </c>
    </row>
    <row r="151" spans="1:36" s="109" customFormat="1" ht="18.75" customHeight="1" x14ac:dyDescent="0.15">
      <c r="A151" s="97"/>
      <c r="B151" s="119"/>
      <c r="C151" s="99"/>
      <c r="D151" s="100"/>
      <c r="E151" s="101"/>
      <c r="F151" s="100"/>
      <c r="G151" s="103"/>
      <c r="H151" s="199" t="s">
        <v>103</v>
      </c>
      <c r="I151" s="135" t="s">
        <v>196</v>
      </c>
      <c r="J151" s="136" t="s">
        <v>153</v>
      </c>
      <c r="K151" s="136"/>
      <c r="L151" s="139" t="s">
        <v>196</v>
      </c>
      <c r="M151" s="136" t="s">
        <v>157</v>
      </c>
      <c r="N151" s="136"/>
      <c r="O151" s="139" t="s">
        <v>196</v>
      </c>
      <c r="P151" s="136" t="s">
        <v>158</v>
      </c>
      <c r="Q151" s="212"/>
      <c r="R151" s="139" t="s">
        <v>196</v>
      </c>
      <c r="S151" s="136" t="s">
        <v>167</v>
      </c>
      <c r="T151" s="212"/>
      <c r="U151" s="212"/>
      <c r="V151" s="212"/>
      <c r="W151" s="212"/>
      <c r="X151" s="178"/>
      <c r="Y151" s="134"/>
      <c r="Z151" s="95"/>
      <c r="AA151" s="95"/>
      <c r="AB151" s="96"/>
      <c r="AC151" s="347"/>
      <c r="AD151" s="347"/>
      <c r="AE151" s="347"/>
      <c r="AF151" s="347"/>
      <c r="AI151" s="109" t="str">
        <f>"22:serteikyo_kyoka_code:" &amp; IF(I151="■",1,IF(L151="■",6,IF(O151="■",5,IF(R151="■",7,0))))</f>
        <v>22:serteikyo_kyoka_code:0</v>
      </c>
    </row>
    <row r="152" spans="1:36" s="109" customFormat="1" ht="18.75" customHeight="1" x14ac:dyDescent="0.15">
      <c r="A152" s="97"/>
      <c r="B152" s="119"/>
      <c r="C152" s="99"/>
      <c r="D152" s="100"/>
      <c r="E152" s="101"/>
      <c r="F152" s="100"/>
      <c r="G152" s="103"/>
      <c r="H152" s="351" t="s">
        <v>238</v>
      </c>
      <c r="I152" s="388" t="s">
        <v>196</v>
      </c>
      <c r="J152" s="389" t="s">
        <v>153</v>
      </c>
      <c r="K152" s="389"/>
      <c r="L152" s="390" t="s">
        <v>196</v>
      </c>
      <c r="M152" s="389" t="s">
        <v>161</v>
      </c>
      <c r="N152" s="389"/>
      <c r="O152" s="147"/>
      <c r="P152" s="147"/>
      <c r="Q152" s="147"/>
      <c r="R152" s="147"/>
      <c r="S152" s="147"/>
      <c r="T152" s="147"/>
      <c r="U152" s="147"/>
      <c r="V152" s="147"/>
      <c r="W152" s="147"/>
      <c r="X152" s="151"/>
      <c r="Y152" s="134"/>
      <c r="Z152" s="95"/>
      <c r="AA152" s="95"/>
      <c r="AB152" s="96"/>
      <c r="AC152" s="347"/>
      <c r="AD152" s="347"/>
      <c r="AE152" s="347"/>
      <c r="AF152" s="347"/>
      <c r="AI152" s="109" t="str">
        <f>"22:field221:" &amp; IF(I152="■",1,IF(L152="■",2,0))</f>
        <v>22:field221:0</v>
      </c>
    </row>
    <row r="153" spans="1:36" s="109" customFormat="1" ht="18.75" customHeight="1" x14ac:dyDescent="0.15">
      <c r="A153" s="97"/>
      <c r="B153" s="119"/>
      <c r="C153" s="99"/>
      <c r="D153" s="100"/>
      <c r="E153" s="101"/>
      <c r="F153" s="100"/>
      <c r="G153" s="103"/>
      <c r="H153" s="352"/>
      <c r="I153" s="388"/>
      <c r="J153" s="389"/>
      <c r="K153" s="389"/>
      <c r="L153" s="390"/>
      <c r="M153" s="389"/>
      <c r="N153" s="389"/>
      <c r="O153" s="105"/>
      <c r="P153" s="105"/>
      <c r="Q153" s="105"/>
      <c r="R153" s="105"/>
      <c r="S153" s="105"/>
      <c r="T153" s="105"/>
      <c r="U153" s="105"/>
      <c r="V153" s="105"/>
      <c r="W153" s="105"/>
      <c r="X153" s="149"/>
      <c r="Y153" s="134"/>
      <c r="Z153" s="95"/>
      <c r="AA153" s="95"/>
      <c r="AB153" s="96"/>
      <c r="AC153" s="347"/>
      <c r="AD153" s="347"/>
      <c r="AE153" s="347"/>
      <c r="AF153" s="347"/>
    </row>
    <row r="154" spans="1:36" s="109" customFormat="1" ht="18.75" customHeight="1" x14ac:dyDescent="0.15">
      <c r="A154" s="97"/>
      <c r="B154" s="119"/>
      <c r="C154" s="99"/>
      <c r="D154" s="100"/>
      <c r="E154" s="101"/>
      <c r="F154" s="102"/>
      <c r="G154" s="103"/>
      <c r="H154" s="182" t="s">
        <v>234</v>
      </c>
      <c r="I154" s="175" t="s">
        <v>196</v>
      </c>
      <c r="J154" s="147" t="s">
        <v>153</v>
      </c>
      <c r="K154" s="147"/>
      <c r="L154" s="189" t="s">
        <v>196</v>
      </c>
      <c r="M154" s="147" t="s">
        <v>218</v>
      </c>
      <c r="N154" s="219"/>
      <c r="O154" s="189" t="s">
        <v>196</v>
      </c>
      <c r="P154" s="94" t="s">
        <v>219</v>
      </c>
      <c r="Q154" s="220"/>
      <c r="R154" s="189" t="s">
        <v>196</v>
      </c>
      <c r="S154" s="147" t="s">
        <v>220</v>
      </c>
      <c r="T154" s="220"/>
      <c r="U154" s="189" t="s">
        <v>196</v>
      </c>
      <c r="V154" s="147" t="s">
        <v>221</v>
      </c>
      <c r="W154" s="214"/>
      <c r="X154" s="215"/>
      <c r="Y154" s="95"/>
      <c r="Z154" s="95"/>
      <c r="AA154" s="95"/>
      <c r="AB154" s="96"/>
      <c r="AC154" s="347"/>
      <c r="AD154" s="347"/>
      <c r="AE154" s="347"/>
      <c r="AF154" s="347"/>
      <c r="AI154" s="109" t="str">
        <f>"22:shoguukaizen_code:"&amp;IF(I154="■",1,IF(L154="■",7,IF(O154="■",8,IF(R154="■",9,IF(U154="■","A",0)))))</f>
        <v>22:shoguukaizen_code:0</v>
      </c>
    </row>
    <row r="155" spans="1:36" s="109" customFormat="1" ht="18.75" customHeight="1" x14ac:dyDescent="0.15">
      <c r="A155" s="122"/>
      <c r="B155" s="123"/>
      <c r="C155" s="124"/>
      <c r="D155" s="125"/>
      <c r="E155" s="117"/>
      <c r="F155" s="125"/>
      <c r="G155" s="127"/>
      <c r="H155" s="201" t="s">
        <v>92</v>
      </c>
      <c r="I155" s="167" t="s">
        <v>196</v>
      </c>
      <c r="J155" s="168" t="s">
        <v>179</v>
      </c>
      <c r="K155" s="169"/>
      <c r="L155" s="170"/>
      <c r="M155" s="171" t="s">
        <v>196</v>
      </c>
      <c r="N155" s="168" t="s">
        <v>180</v>
      </c>
      <c r="O155" s="172"/>
      <c r="P155" s="172"/>
      <c r="Q155" s="172"/>
      <c r="R155" s="172"/>
      <c r="S155" s="172"/>
      <c r="T155" s="172"/>
      <c r="U155" s="172"/>
      <c r="V155" s="172"/>
      <c r="W155" s="172"/>
      <c r="X155" s="173"/>
      <c r="Y155" s="225" t="s">
        <v>196</v>
      </c>
      <c r="Z155" s="115" t="s">
        <v>152</v>
      </c>
      <c r="AA155" s="115"/>
      <c r="AB155" s="128"/>
      <c r="AC155" s="346"/>
      <c r="AD155" s="346"/>
      <c r="AE155" s="346"/>
      <c r="AF155" s="346"/>
      <c r="AG155" s="109" t="str">
        <f>"ser_code = '" &amp; IF(A163="■",22,"") &amp; "'"</f>
        <v>ser_code = ''</v>
      </c>
      <c r="AI155" s="109" t="str">
        <f>"22:yakan_kinmu_code:" &amp; IF(I155="■",1,IF(M155="■",6,0))</f>
        <v>22:yakan_kinmu_code:0</v>
      </c>
      <c r="AJ155" s="109" t="str">
        <f>"22:field203:" &amp; IF(Y155="■",1,IF(Y156="■",2,0))</f>
        <v>22:field203:0</v>
      </c>
    </row>
    <row r="156" spans="1:36" s="109" customFormat="1" ht="18.75" customHeight="1" x14ac:dyDescent="0.15">
      <c r="A156" s="97"/>
      <c r="B156" s="119"/>
      <c r="C156" s="99"/>
      <c r="D156" s="100"/>
      <c r="E156" s="101"/>
      <c r="F156" s="100"/>
      <c r="G156" s="103"/>
      <c r="H156" s="349" t="s">
        <v>121</v>
      </c>
      <c r="I156" s="175" t="s">
        <v>196</v>
      </c>
      <c r="J156" s="147" t="s">
        <v>153</v>
      </c>
      <c r="K156" s="147"/>
      <c r="L156" s="183"/>
      <c r="M156" s="189" t="s">
        <v>196</v>
      </c>
      <c r="N156" s="147" t="s">
        <v>168</v>
      </c>
      <c r="O156" s="147"/>
      <c r="P156" s="183"/>
      <c r="Q156" s="189" t="s">
        <v>196</v>
      </c>
      <c r="R156" s="179" t="s">
        <v>169</v>
      </c>
      <c r="S156" s="179"/>
      <c r="T156" s="179"/>
      <c r="U156" s="189" t="s">
        <v>196</v>
      </c>
      <c r="V156" s="179" t="s">
        <v>170</v>
      </c>
      <c r="W156" s="179"/>
      <c r="X156" s="228"/>
      <c r="Y156" s="197" t="s">
        <v>196</v>
      </c>
      <c r="Z156" s="94" t="s">
        <v>156</v>
      </c>
      <c r="AA156" s="95"/>
      <c r="AB156" s="96"/>
      <c r="AC156" s="347"/>
      <c r="AD156" s="347"/>
      <c r="AE156" s="347"/>
      <c r="AF156" s="347"/>
      <c r="AG156" s="109" t="str">
        <f>"22:sisetukbn_code:" &amp; IF(D163="■","A",0)</f>
        <v>22:sisetukbn_code:0</v>
      </c>
      <c r="AI156" s="109" t="str">
        <f>"22:"&amp;IF(AND(I156="□",M156="□",Q156="□",U156="□",I157="□",M157="□",Q157="□"),"ketu_doctor_code:0",IF(I156="■","ketu_doctor_code:1:ketu_kangos_code:1:ketu_kshoku_code:1:ketu_rryoho_code:1:ketu_sryoho_code:1:ketu_gengo_code:1",
IF(M156="■","ketu_doctor_code:2","ketu_doctor_code:1")
&amp;IF(Q156="■",":ketu_kangos_code:2",":ketu_kangos_code:1")
&amp;IF(U156="■",":ketu_kshoku_code:2",":ketu_kshoku_code:1")
&amp;IF(I157="■",":ketu_rryoho_code:2",":ketu_rryoho_code:1")
&amp;IF(M157="■",":ketu_sryoho_code:2",":ketu_sryoho_code:1")
&amp;IF(Q157="■",":ketu_gengo_code:2",":ketu_gengo_code:1")))</f>
        <v>22:ketu_doctor_code:0</v>
      </c>
    </row>
    <row r="157" spans="1:36" s="109" customFormat="1" ht="18.75" customHeight="1" x14ac:dyDescent="0.15">
      <c r="A157" s="97"/>
      <c r="B157" s="119"/>
      <c r="C157" s="99"/>
      <c r="D157" s="100"/>
      <c r="E157" s="101"/>
      <c r="F157" s="100"/>
      <c r="G157" s="103"/>
      <c r="H157" s="350"/>
      <c r="I157" s="152" t="s">
        <v>196</v>
      </c>
      <c r="J157" s="105" t="s">
        <v>171</v>
      </c>
      <c r="K157" s="105"/>
      <c r="L157" s="106"/>
      <c r="M157" s="191" t="s">
        <v>196</v>
      </c>
      <c r="N157" s="105" t="s">
        <v>172</v>
      </c>
      <c r="O157" s="105"/>
      <c r="P157" s="106"/>
      <c r="Q157" s="191" t="s">
        <v>196</v>
      </c>
      <c r="R157" s="148" t="s">
        <v>173</v>
      </c>
      <c r="S157" s="148"/>
      <c r="T157" s="148"/>
      <c r="U157" s="148"/>
      <c r="V157" s="148"/>
      <c r="W157" s="148"/>
      <c r="X157" s="229"/>
      <c r="Y157" s="134"/>
      <c r="Z157" s="95"/>
      <c r="AA157" s="95"/>
      <c r="AB157" s="96"/>
      <c r="AC157" s="347"/>
      <c r="AD157" s="347"/>
      <c r="AE157" s="347"/>
      <c r="AF157" s="347"/>
    </row>
    <row r="158" spans="1:36" s="109" customFormat="1" ht="18.75" customHeight="1" x14ac:dyDescent="0.15">
      <c r="A158" s="97"/>
      <c r="B158" s="119"/>
      <c r="C158" s="99"/>
      <c r="D158" s="100"/>
      <c r="E158" s="101"/>
      <c r="F158" s="100"/>
      <c r="G158" s="103"/>
      <c r="H158" s="203" t="s">
        <v>93</v>
      </c>
      <c r="I158" s="135" t="s">
        <v>196</v>
      </c>
      <c r="J158" s="136" t="s">
        <v>159</v>
      </c>
      <c r="K158" s="137"/>
      <c r="L158" s="138"/>
      <c r="M158" s="139" t="s">
        <v>196</v>
      </c>
      <c r="N158" s="136" t="s">
        <v>160</v>
      </c>
      <c r="O158" s="141"/>
      <c r="P158" s="141"/>
      <c r="Q158" s="141"/>
      <c r="R158" s="141"/>
      <c r="S158" s="141"/>
      <c r="T158" s="141"/>
      <c r="U158" s="141"/>
      <c r="V158" s="141"/>
      <c r="W158" s="141"/>
      <c r="X158" s="142"/>
      <c r="Y158" s="134"/>
      <c r="Z158" s="95"/>
      <c r="AA158" s="95"/>
      <c r="AB158" s="96"/>
      <c r="AC158" s="347"/>
      <c r="AD158" s="347"/>
      <c r="AE158" s="347"/>
      <c r="AF158" s="347"/>
      <c r="AI158" s="109" t="str">
        <f>"22:unitcare_code:" &amp; IF(I158="■",1,IF(M158="■",2,0))</f>
        <v>22:unitcare_code:0</v>
      </c>
    </row>
    <row r="159" spans="1:36" s="109" customFormat="1" ht="18.75" customHeight="1" x14ac:dyDescent="0.15">
      <c r="A159" s="97"/>
      <c r="B159" s="119"/>
      <c r="C159" s="210"/>
      <c r="D159" s="211"/>
      <c r="E159" s="101"/>
      <c r="F159" s="102"/>
      <c r="G159" s="103"/>
      <c r="H159" s="203" t="s">
        <v>96</v>
      </c>
      <c r="I159" s="135" t="s">
        <v>196</v>
      </c>
      <c r="J159" s="136" t="s">
        <v>197</v>
      </c>
      <c r="K159" s="137"/>
      <c r="L159" s="138"/>
      <c r="M159" s="139" t="s">
        <v>196</v>
      </c>
      <c r="N159" s="136" t="s">
        <v>198</v>
      </c>
      <c r="O159" s="137"/>
      <c r="P159" s="137"/>
      <c r="Q159" s="137"/>
      <c r="R159" s="137"/>
      <c r="S159" s="137"/>
      <c r="T159" s="137"/>
      <c r="U159" s="137"/>
      <c r="V159" s="137"/>
      <c r="W159" s="137"/>
      <c r="X159" s="145"/>
      <c r="Y159" s="134"/>
      <c r="Z159" s="95"/>
      <c r="AA159" s="95"/>
      <c r="AB159" s="96"/>
      <c r="AC159" s="347"/>
      <c r="AD159" s="347"/>
      <c r="AE159" s="347"/>
      <c r="AF159" s="347"/>
      <c r="AI159" s="109" t="str">
        <f>"22:sintaikousoku_code:" &amp; IF(I159="■",1,IF(M159="■",2,0))</f>
        <v>22:sintaikousoku_code:0</v>
      </c>
    </row>
    <row r="160" spans="1:36" s="109" customFormat="1" ht="19.5" customHeight="1" x14ac:dyDescent="0.15">
      <c r="A160" s="97"/>
      <c r="B160" s="119"/>
      <c r="C160" s="99"/>
      <c r="D160" s="100"/>
      <c r="E160" s="101"/>
      <c r="F160" s="102"/>
      <c r="G160" s="103"/>
      <c r="H160" s="104" t="s">
        <v>215</v>
      </c>
      <c r="I160" s="135" t="s">
        <v>196</v>
      </c>
      <c r="J160" s="136" t="s">
        <v>197</v>
      </c>
      <c r="K160" s="137"/>
      <c r="L160" s="138"/>
      <c r="M160" s="139" t="s">
        <v>196</v>
      </c>
      <c r="N160" s="136" t="s">
        <v>216</v>
      </c>
      <c r="O160" s="140"/>
      <c r="P160" s="136"/>
      <c r="Q160" s="141"/>
      <c r="R160" s="141"/>
      <c r="S160" s="141"/>
      <c r="T160" s="141"/>
      <c r="U160" s="141"/>
      <c r="V160" s="141"/>
      <c r="W160" s="141"/>
      <c r="X160" s="142"/>
      <c r="Y160" s="95"/>
      <c r="Z160" s="95"/>
      <c r="AA160" s="95"/>
      <c r="AB160" s="96"/>
      <c r="AC160" s="347"/>
      <c r="AD160" s="347"/>
      <c r="AE160" s="347"/>
      <c r="AF160" s="347"/>
      <c r="AI160" s="109" t="str">
        <f>"22:field223:" &amp; IF(I160="■",1,IF(M160="■",2,0))</f>
        <v>22:field223:0</v>
      </c>
    </row>
    <row r="161" spans="1:35" s="109" customFormat="1" ht="19.5" customHeight="1" x14ac:dyDescent="0.15">
      <c r="A161" s="97"/>
      <c r="B161" s="119"/>
      <c r="C161" s="99"/>
      <c r="D161" s="100"/>
      <c r="E161" s="101"/>
      <c r="F161" s="102"/>
      <c r="G161" s="103"/>
      <c r="H161" s="104" t="s">
        <v>226</v>
      </c>
      <c r="I161" s="135" t="s">
        <v>196</v>
      </c>
      <c r="J161" s="136" t="s">
        <v>197</v>
      </c>
      <c r="K161" s="137"/>
      <c r="L161" s="138"/>
      <c r="M161" s="139" t="s">
        <v>196</v>
      </c>
      <c r="N161" s="136" t="s">
        <v>216</v>
      </c>
      <c r="O161" s="140"/>
      <c r="P161" s="136"/>
      <c r="Q161" s="141"/>
      <c r="R161" s="141"/>
      <c r="S161" s="141"/>
      <c r="T161" s="141"/>
      <c r="U161" s="141"/>
      <c r="V161" s="141"/>
      <c r="W161" s="141"/>
      <c r="X161" s="142"/>
      <c r="Y161" s="95"/>
      <c r="Z161" s="95"/>
      <c r="AA161" s="95"/>
      <c r="AB161" s="96"/>
      <c r="AC161" s="347"/>
      <c r="AD161" s="347"/>
      <c r="AE161" s="347"/>
      <c r="AF161" s="347"/>
      <c r="AI161" s="109" t="str">
        <f>"22:field232:" &amp; IF(I161="■",1,IF(M161="■",2,0))</f>
        <v>22:field232:0</v>
      </c>
    </row>
    <row r="162" spans="1:35" s="109" customFormat="1" ht="18.75" customHeight="1" x14ac:dyDescent="0.15">
      <c r="A162" s="97"/>
      <c r="B162" s="119"/>
      <c r="C162" s="99"/>
      <c r="D162" s="100"/>
      <c r="E162" s="101"/>
      <c r="F162" s="100"/>
      <c r="G162" s="103"/>
      <c r="H162" s="203" t="s">
        <v>98</v>
      </c>
      <c r="I162" s="135" t="s">
        <v>196</v>
      </c>
      <c r="J162" s="136" t="s">
        <v>153</v>
      </c>
      <c r="K162" s="137"/>
      <c r="L162" s="139" t="s">
        <v>196</v>
      </c>
      <c r="M162" s="136" t="s">
        <v>161</v>
      </c>
      <c r="N162" s="141"/>
      <c r="O162" s="141"/>
      <c r="P162" s="141"/>
      <c r="Q162" s="141"/>
      <c r="R162" s="141"/>
      <c r="S162" s="141"/>
      <c r="T162" s="141"/>
      <c r="U162" s="141"/>
      <c r="V162" s="141"/>
      <c r="W162" s="141"/>
      <c r="X162" s="142"/>
      <c r="Y162" s="134"/>
      <c r="Z162" s="95"/>
      <c r="AA162" s="95"/>
      <c r="AB162" s="96"/>
      <c r="AC162" s="347"/>
      <c r="AD162" s="347"/>
      <c r="AE162" s="347"/>
      <c r="AF162" s="347"/>
      <c r="AI162" s="109" t="str">
        <f>"22:yakinhaiti_code:" &amp; IF(I162="■",1,IF(L162="■",2,0))</f>
        <v>22:yakinhaiti_code:0</v>
      </c>
    </row>
    <row r="163" spans="1:35" s="109" customFormat="1" ht="18.75" customHeight="1" x14ac:dyDescent="0.15">
      <c r="A163" s="196" t="s">
        <v>196</v>
      </c>
      <c r="B163" s="119">
        <v>22</v>
      </c>
      <c r="C163" s="99" t="s">
        <v>125</v>
      </c>
      <c r="D163" s="197" t="s">
        <v>196</v>
      </c>
      <c r="E163" s="101" t="s">
        <v>195</v>
      </c>
      <c r="F163" s="100"/>
      <c r="G163" s="103"/>
      <c r="H163" s="203" t="s">
        <v>94</v>
      </c>
      <c r="I163" s="135" t="s">
        <v>196</v>
      </c>
      <c r="J163" s="136" t="s">
        <v>153</v>
      </c>
      <c r="K163" s="137"/>
      <c r="L163" s="139" t="s">
        <v>196</v>
      </c>
      <c r="M163" s="136" t="s">
        <v>161</v>
      </c>
      <c r="N163" s="141"/>
      <c r="O163" s="141"/>
      <c r="P163" s="141"/>
      <c r="Q163" s="141"/>
      <c r="R163" s="141"/>
      <c r="S163" s="141"/>
      <c r="T163" s="141"/>
      <c r="U163" s="141"/>
      <c r="V163" s="141"/>
      <c r="W163" s="141"/>
      <c r="X163" s="142"/>
      <c r="Y163" s="134"/>
      <c r="Z163" s="95"/>
      <c r="AA163" s="95"/>
      <c r="AB163" s="96"/>
      <c r="AC163" s="347"/>
      <c r="AD163" s="347"/>
      <c r="AE163" s="347"/>
      <c r="AF163" s="347"/>
      <c r="AI163" s="109" t="str">
        <f>"22:ninticare_code:" &amp; IF(I163="■",1,IF(L163="■",2,0))</f>
        <v>22:ninticare_code:0</v>
      </c>
    </row>
    <row r="164" spans="1:35" s="109" customFormat="1" ht="18.75" customHeight="1" x14ac:dyDescent="0.15">
      <c r="A164" s="97"/>
      <c r="B164" s="119"/>
      <c r="C164" s="99"/>
      <c r="D164" s="100"/>
      <c r="E164" s="101"/>
      <c r="F164" s="100"/>
      <c r="G164" s="103"/>
      <c r="H164" s="203" t="s">
        <v>97</v>
      </c>
      <c r="I164" s="135" t="s">
        <v>196</v>
      </c>
      <c r="J164" s="136" t="s">
        <v>153</v>
      </c>
      <c r="K164" s="137"/>
      <c r="L164" s="139" t="s">
        <v>196</v>
      </c>
      <c r="M164" s="136" t="s">
        <v>161</v>
      </c>
      <c r="N164" s="141"/>
      <c r="O164" s="141"/>
      <c r="P164" s="141"/>
      <c r="Q164" s="141"/>
      <c r="R164" s="141"/>
      <c r="S164" s="141"/>
      <c r="T164" s="141"/>
      <c r="U164" s="141"/>
      <c r="V164" s="141"/>
      <c r="W164" s="141"/>
      <c r="X164" s="142"/>
      <c r="Y164" s="134"/>
      <c r="Z164" s="95"/>
      <c r="AA164" s="95"/>
      <c r="AB164" s="96"/>
      <c r="AC164" s="347"/>
      <c r="AD164" s="347"/>
      <c r="AE164" s="347"/>
      <c r="AF164" s="347"/>
      <c r="AI164" s="109" t="str">
        <f>"22:jyakuninti_uke_code:" &amp; IF(I164="■",1,IF(L164="■",2,0))</f>
        <v>22:jyakuninti_uke_code:0</v>
      </c>
    </row>
    <row r="165" spans="1:35" s="109" customFormat="1" ht="18.75" customHeight="1" x14ac:dyDescent="0.15">
      <c r="A165" s="97"/>
      <c r="B165" s="119"/>
      <c r="C165" s="99"/>
      <c r="D165" s="100"/>
      <c r="E165" s="101"/>
      <c r="F165" s="100"/>
      <c r="G165" s="103"/>
      <c r="H165" s="203" t="s">
        <v>90</v>
      </c>
      <c r="I165" s="135" t="s">
        <v>196</v>
      </c>
      <c r="J165" s="136" t="s">
        <v>159</v>
      </c>
      <c r="K165" s="137"/>
      <c r="L165" s="138"/>
      <c r="M165" s="139" t="s">
        <v>196</v>
      </c>
      <c r="N165" s="136" t="s">
        <v>160</v>
      </c>
      <c r="O165" s="141"/>
      <c r="P165" s="141"/>
      <c r="Q165" s="141"/>
      <c r="R165" s="141"/>
      <c r="S165" s="141"/>
      <c r="T165" s="141"/>
      <c r="U165" s="141"/>
      <c r="V165" s="141"/>
      <c r="W165" s="141"/>
      <c r="X165" s="142"/>
      <c r="Y165" s="134"/>
      <c r="Z165" s="95"/>
      <c r="AA165" s="95"/>
      <c r="AB165" s="96"/>
      <c r="AC165" s="347"/>
      <c r="AD165" s="347"/>
      <c r="AE165" s="347"/>
      <c r="AF165" s="347"/>
      <c r="AI165" s="109" t="str">
        <f>"22:sougei_code:" &amp; IF(I165="■",1,IF(M165="■",2,0))</f>
        <v>22:sougei_code:0</v>
      </c>
    </row>
    <row r="166" spans="1:35" s="109" customFormat="1" ht="19.5" customHeight="1" x14ac:dyDescent="0.15">
      <c r="A166" s="97"/>
      <c r="B166" s="119"/>
      <c r="C166" s="99"/>
      <c r="D166" s="100"/>
      <c r="E166" s="101"/>
      <c r="F166" s="102"/>
      <c r="G166" s="103"/>
      <c r="H166" s="104" t="s">
        <v>217</v>
      </c>
      <c r="I166" s="135" t="s">
        <v>196</v>
      </c>
      <c r="J166" s="136" t="s">
        <v>153</v>
      </c>
      <c r="K166" s="136"/>
      <c r="L166" s="139" t="s">
        <v>196</v>
      </c>
      <c r="M166" s="136" t="s">
        <v>161</v>
      </c>
      <c r="N166" s="136"/>
      <c r="O166" s="141"/>
      <c r="P166" s="136"/>
      <c r="Q166" s="141"/>
      <c r="R166" s="141"/>
      <c r="S166" s="141"/>
      <c r="T166" s="141"/>
      <c r="U166" s="141"/>
      <c r="V166" s="141"/>
      <c r="W166" s="141"/>
      <c r="X166" s="142"/>
      <c r="Y166" s="95"/>
      <c r="Z166" s="95"/>
      <c r="AA166" s="95"/>
      <c r="AB166" s="96"/>
      <c r="AC166" s="347"/>
      <c r="AD166" s="347"/>
      <c r="AE166" s="347"/>
      <c r="AF166" s="347"/>
      <c r="AI166" s="109" t="str">
        <f>"22:field224:" &amp; IF(I166="■",1,IF(L166="■",2,0))</f>
        <v>22:field224:0</v>
      </c>
    </row>
    <row r="167" spans="1:35" s="109" customFormat="1" ht="18.75" customHeight="1" x14ac:dyDescent="0.15">
      <c r="A167" s="97"/>
      <c r="B167" s="119"/>
      <c r="C167" s="99"/>
      <c r="D167" s="100"/>
      <c r="E167" s="101"/>
      <c r="F167" s="100"/>
      <c r="G167" s="103"/>
      <c r="H167" s="203" t="s">
        <v>99</v>
      </c>
      <c r="I167" s="135" t="s">
        <v>196</v>
      </c>
      <c r="J167" s="136" t="s">
        <v>153</v>
      </c>
      <c r="K167" s="137"/>
      <c r="L167" s="139" t="s">
        <v>196</v>
      </c>
      <c r="M167" s="136" t="s">
        <v>161</v>
      </c>
      <c r="N167" s="141"/>
      <c r="O167" s="141"/>
      <c r="P167" s="141"/>
      <c r="Q167" s="141"/>
      <c r="R167" s="141"/>
      <c r="S167" s="141"/>
      <c r="T167" s="141"/>
      <c r="U167" s="141"/>
      <c r="V167" s="141"/>
      <c r="W167" s="141"/>
      <c r="X167" s="142"/>
      <c r="Y167" s="134"/>
      <c r="Z167" s="95"/>
      <c r="AA167" s="95"/>
      <c r="AB167" s="96"/>
      <c r="AC167" s="347"/>
      <c r="AD167" s="347"/>
      <c r="AE167" s="347"/>
      <c r="AF167" s="347"/>
      <c r="AI167" s="109" t="str">
        <f>"22:ryouyoushoku_code:" &amp; IF(I167="■",1,IF(L167="■",2,0))</f>
        <v>22:ryouyoushoku_code:0</v>
      </c>
    </row>
    <row r="168" spans="1:35" s="109" customFormat="1" ht="18.75" customHeight="1" x14ac:dyDescent="0.15">
      <c r="A168" s="97"/>
      <c r="B168" s="119"/>
      <c r="C168" s="99"/>
      <c r="D168" s="100"/>
      <c r="E168" s="101"/>
      <c r="F168" s="100"/>
      <c r="G168" s="103"/>
      <c r="H168" s="203" t="s">
        <v>122</v>
      </c>
      <c r="I168" s="135" t="s">
        <v>196</v>
      </c>
      <c r="J168" s="136" t="s">
        <v>153</v>
      </c>
      <c r="K168" s="136"/>
      <c r="L168" s="139" t="s">
        <v>196</v>
      </c>
      <c r="M168" s="136" t="s">
        <v>154</v>
      </c>
      <c r="N168" s="136"/>
      <c r="O168" s="139" t="s">
        <v>196</v>
      </c>
      <c r="P168" s="136" t="s">
        <v>155</v>
      </c>
      <c r="Q168" s="141"/>
      <c r="R168" s="141"/>
      <c r="S168" s="141"/>
      <c r="T168" s="141"/>
      <c r="U168" s="141"/>
      <c r="V168" s="141"/>
      <c r="W168" s="141"/>
      <c r="X168" s="142"/>
      <c r="Y168" s="134"/>
      <c r="Z168" s="95"/>
      <c r="AA168" s="95"/>
      <c r="AB168" s="96"/>
      <c r="AC168" s="347"/>
      <c r="AD168" s="347"/>
      <c r="AE168" s="347"/>
      <c r="AF168" s="347"/>
      <c r="AI168" s="109" t="str">
        <f>"22:ninti_senmoncare_code:" &amp; IF(I168="■",1,IF(O168="■",3,IF(L168="■",2,0)))</f>
        <v>22:ninti_senmoncare_code:0</v>
      </c>
    </row>
    <row r="169" spans="1:35" s="109" customFormat="1" ht="18.75" customHeight="1" x14ac:dyDescent="0.15">
      <c r="A169" s="97"/>
      <c r="B169" s="119"/>
      <c r="C169" s="99"/>
      <c r="D169" s="100"/>
      <c r="E169" s="101"/>
      <c r="F169" s="100"/>
      <c r="G169" s="103"/>
      <c r="H169" s="213" t="s">
        <v>224</v>
      </c>
      <c r="I169" s="135" t="s">
        <v>196</v>
      </c>
      <c r="J169" s="136" t="s">
        <v>153</v>
      </c>
      <c r="K169" s="136"/>
      <c r="L169" s="139" t="s">
        <v>196</v>
      </c>
      <c r="M169" s="136" t="s">
        <v>154</v>
      </c>
      <c r="N169" s="136"/>
      <c r="O169" s="139" t="s">
        <v>196</v>
      </c>
      <c r="P169" s="136" t="s">
        <v>155</v>
      </c>
      <c r="Q169" s="141"/>
      <c r="R169" s="141"/>
      <c r="S169" s="141"/>
      <c r="T169" s="141"/>
      <c r="U169" s="214"/>
      <c r="V169" s="214"/>
      <c r="W169" s="214"/>
      <c r="X169" s="215"/>
      <c r="Y169" s="134"/>
      <c r="Z169" s="95"/>
      <c r="AA169" s="95"/>
      <c r="AB169" s="96"/>
      <c r="AC169" s="347"/>
      <c r="AD169" s="347"/>
      <c r="AE169" s="347"/>
      <c r="AF169" s="347"/>
      <c r="AI169" s="109" t="str">
        <f>"22:field225:" &amp; IF(I169="■",1,IF(L169="■",2,IF(O169="■",3,0)))</f>
        <v>22:field225:0</v>
      </c>
    </row>
    <row r="170" spans="1:35" s="109" customFormat="1" ht="18.75" customHeight="1" x14ac:dyDescent="0.15">
      <c r="A170" s="97"/>
      <c r="B170" s="119"/>
      <c r="C170" s="99"/>
      <c r="D170" s="100"/>
      <c r="E170" s="101"/>
      <c r="F170" s="100"/>
      <c r="G170" s="103"/>
      <c r="H170" s="199" t="s">
        <v>103</v>
      </c>
      <c r="I170" s="135" t="s">
        <v>196</v>
      </c>
      <c r="J170" s="136" t="s">
        <v>153</v>
      </c>
      <c r="K170" s="136"/>
      <c r="L170" s="139" t="s">
        <v>196</v>
      </c>
      <c r="M170" s="136" t="s">
        <v>157</v>
      </c>
      <c r="N170" s="136"/>
      <c r="O170" s="139" t="s">
        <v>196</v>
      </c>
      <c r="P170" s="136" t="s">
        <v>158</v>
      </c>
      <c r="Q170" s="212"/>
      <c r="R170" s="139" t="s">
        <v>196</v>
      </c>
      <c r="S170" s="136" t="s">
        <v>167</v>
      </c>
      <c r="T170" s="212"/>
      <c r="U170" s="212"/>
      <c r="V170" s="212"/>
      <c r="W170" s="212"/>
      <c r="X170" s="178"/>
      <c r="Y170" s="134"/>
      <c r="Z170" s="95"/>
      <c r="AA170" s="95"/>
      <c r="AB170" s="96"/>
      <c r="AC170" s="347"/>
      <c r="AD170" s="347"/>
      <c r="AE170" s="347"/>
      <c r="AF170" s="347"/>
      <c r="AI170" s="109" t="str">
        <f>"22:serteikyo_kyoka_code:" &amp; IF(I170="■",1,IF(L170="■",6,IF(O170="■",5,IF(R170="■",7,0))))</f>
        <v>22:serteikyo_kyoka_code:0</v>
      </c>
    </row>
    <row r="171" spans="1:35" s="109" customFormat="1" ht="18.75" customHeight="1" x14ac:dyDescent="0.15">
      <c r="A171" s="97"/>
      <c r="B171" s="119"/>
      <c r="C171" s="99"/>
      <c r="D171" s="100"/>
      <c r="E171" s="101"/>
      <c r="F171" s="100"/>
      <c r="G171" s="103"/>
      <c r="H171" s="351" t="s">
        <v>238</v>
      </c>
      <c r="I171" s="388" t="s">
        <v>196</v>
      </c>
      <c r="J171" s="389" t="s">
        <v>153</v>
      </c>
      <c r="K171" s="389"/>
      <c r="L171" s="390" t="s">
        <v>196</v>
      </c>
      <c r="M171" s="389" t="s">
        <v>161</v>
      </c>
      <c r="N171" s="389"/>
      <c r="O171" s="147"/>
      <c r="P171" s="147"/>
      <c r="Q171" s="147"/>
      <c r="R171" s="147"/>
      <c r="S171" s="147"/>
      <c r="T171" s="147"/>
      <c r="U171" s="147"/>
      <c r="V171" s="147"/>
      <c r="W171" s="147"/>
      <c r="X171" s="151"/>
      <c r="Y171" s="134"/>
      <c r="Z171" s="95"/>
      <c r="AA171" s="95"/>
      <c r="AB171" s="96"/>
      <c r="AC171" s="347"/>
      <c r="AD171" s="347"/>
      <c r="AE171" s="347"/>
      <c r="AF171" s="347"/>
      <c r="AI171" s="109" t="str">
        <f>"22:field221:" &amp; IF(I171="■",1,IF(L171="■",2,0))</f>
        <v>22:field221:0</v>
      </c>
    </row>
    <row r="172" spans="1:35" s="109" customFormat="1" ht="18.75" customHeight="1" x14ac:dyDescent="0.15">
      <c r="A172" s="97"/>
      <c r="B172" s="119"/>
      <c r="C172" s="99"/>
      <c r="D172" s="100"/>
      <c r="E172" s="101"/>
      <c r="F172" s="100"/>
      <c r="G172" s="103"/>
      <c r="H172" s="352"/>
      <c r="I172" s="388"/>
      <c r="J172" s="389"/>
      <c r="K172" s="389"/>
      <c r="L172" s="390"/>
      <c r="M172" s="389"/>
      <c r="N172" s="389"/>
      <c r="O172" s="105"/>
      <c r="P172" s="105"/>
      <c r="Q172" s="105"/>
      <c r="R172" s="105"/>
      <c r="S172" s="105"/>
      <c r="T172" s="105"/>
      <c r="U172" s="105"/>
      <c r="V172" s="105"/>
      <c r="W172" s="105"/>
      <c r="X172" s="149"/>
      <c r="Y172" s="134"/>
      <c r="Z172" s="95"/>
      <c r="AA172" s="95"/>
      <c r="AB172" s="96"/>
      <c r="AC172" s="347"/>
      <c r="AD172" s="347"/>
      <c r="AE172" s="347"/>
      <c r="AF172" s="347"/>
    </row>
    <row r="173" spans="1:35" s="109" customFormat="1" ht="18.75" customHeight="1" x14ac:dyDescent="0.15">
      <c r="A173" s="156"/>
      <c r="B173" s="231"/>
      <c r="C173" s="158"/>
      <c r="D173" s="159"/>
      <c r="E173" s="160"/>
      <c r="F173" s="161"/>
      <c r="G173" s="162"/>
      <c r="H173" s="85" t="s">
        <v>234</v>
      </c>
      <c r="I173" s="163" t="s">
        <v>196</v>
      </c>
      <c r="J173" s="86" t="s">
        <v>153</v>
      </c>
      <c r="K173" s="86"/>
      <c r="L173" s="164" t="s">
        <v>196</v>
      </c>
      <c r="M173" s="86" t="s">
        <v>218</v>
      </c>
      <c r="N173" s="87"/>
      <c r="O173" s="164" t="s">
        <v>196</v>
      </c>
      <c r="P173" s="89" t="s">
        <v>219</v>
      </c>
      <c r="Q173" s="88"/>
      <c r="R173" s="164" t="s">
        <v>196</v>
      </c>
      <c r="S173" s="86" t="s">
        <v>220</v>
      </c>
      <c r="T173" s="88"/>
      <c r="U173" s="164" t="s">
        <v>196</v>
      </c>
      <c r="V173" s="86" t="s">
        <v>221</v>
      </c>
      <c r="W173" s="90"/>
      <c r="X173" s="91"/>
      <c r="Y173" s="165"/>
      <c r="Z173" s="165"/>
      <c r="AA173" s="165"/>
      <c r="AB173" s="166"/>
      <c r="AC173" s="348"/>
      <c r="AD173" s="348"/>
      <c r="AE173" s="348"/>
      <c r="AF173" s="348"/>
      <c r="AI173" s="109" t="str">
        <f>"22:shoguukaizen_code:"&amp;IF(I173="■",1,IF(L173="■",7,IF(O173="■",8,IF(R173="■",9,IF(U173="■","A",0)))))</f>
        <v>22:shoguukaizen_code:0</v>
      </c>
    </row>
    <row r="174" spans="1:35" s="109" customFormat="1" ht="20.25" customHeight="1" x14ac:dyDescent="0.15">
      <c r="A174" s="118"/>
      <c r="B174" s="118"/>
      <c r="C174" s="146"/>
      <c r="D174" s="146"/>
      <c r="E174" s="146"/>
      <c r="F174" s="146"/>
      <c r="G174" s="146"/>
      <c r="H174" s="146"/>
      <c r="I174" s="146"/>
      <c r="J174" s="146"/>
      <c r="K174" s="146"/>
      <c r="L174" s="146"/>
      <c r="M174" s="146"/>
      <c r="N174" s="146"/>
      <c r="O174" s="146"/>
      <c r="P174" s="146"/>
      <c r="Q174" s="146"/>
      <c r="R174" s="146"/>
      <c r="S174" s="146"/>
      <c r="T174" s="146"/>
      <c r="U174" s="146"/>
      <c r="V174" s="146"/>
      <c r="W174" s="146"/>
      <c r="X174" s="146"/>
      <c r="Y174" s="146"/>
      <c r="Z174" s="146"/>
      <c r="AA174" s="146"/>
      <c r="AB174" s="146"/>
      <c r="AC174" s="146"/>
      <c r="AD174" s="146"/>
      <c r="AE174" s="146"/>
      <c r="AF174" s="146"/>
    </row>
  </sheetData>
  <mergeCells count="90">
    <mergeCell ref="AC155:AF173"/>
    <mergeCell ref="H156:H157"/>
    <mergeCell ref="H171:H172"/>
    <mergeCell ref="I171:I172"/>
    <mergeCell ref="J171:K172"/>
    <mergeCell ref="L171:L172"/>
    <mergeCell ref="M171:N172"/>
    <mergeCell ref="AC135:AF154"/>
    <mergeCell ref="H136:H137"/>
    <mergeCell ref="H152:H153"/>
    <mergeCell ref="I152:I153"/>
    <mergeCell ref="J152:K153"/>
    <mergeCell ref="L152:L153"/>
    <mergeCell ref="M152:N153"/>
    <mergeCell ref="AC112:AF134"/>
    <mergeCell ref="H113:H114"/>
    <mergeCell ref="H132:H133"/>
    <mergeCell ref="I132:I133"/>
    <mergeCell ref="J132:K133"/>
    <mergeCell ref="L132:L133"/>
    <mergeCell ref="M132:N133"/>
    <mergeCell ref="AC88:AF111"/>
    <mergeCell ref="H89:H90"/>
    <mergeCell ref="H109:H110"/>
    <mergeCell ref="I109:I110"/>
    <mergeCell ref="J109:K110"/>
    <mergeCell ref="L109:L110"/>
    <mergeCell ref="M109:N110"/>
    <mergeCell ref="AC68:AF87"/>
    <mergeCell ref="H69:H70"/>
    <mergeCell ref="H85:H86"/>
    <mergeCell ref="I85:I86"/>
    <mergeCell ref="J85:K86"/>
    <mergeCell ref="L85:L86"/>
    <mergeCell ref="M85:N86"/>
    <mergeCell ref="AC47:AF67"/>
    <mergeCell ref="H48:H49"/>
    <mergeCell ref="H65:H66"/>
    <mergeCell ref="I65:I66"/>
    <mergeCell ref="J65:K66"/>
    <mergeCell ref="L65:L66"/>
    <mergeCell ref="M65:N66"/>
    <mergeCell ref="L35:L36"/>
    <mergeCell ref="M35:N36"/>
    <mergeCell ref="H24:H25"/>
    <mergeCell ref="AC24:AF46"/>
    <mergeCell ref="H28:H30"/>
    <mergeCell ref="I28:I30"/>
    <mergeCell ref="J28:K30"/>
    <mergeCell ref="L28:L30"/>
    <mergeCell ref="M28:N30"/>
    <mergeCell ref="H35:H36"/>
    <mergeCell ref="I35:I36"/>
    <mergeCell ref="J35:K36"/>
    <mergeCell ref="A9:C10"/>
    <mergeCell ref="D9:E10"/>
    <mergeCell ref="F9:G10"/>
    <mergeCell ref="H9:H10"/>
    <mergeCell ref="Y9:AB10"/>
    <mergeCell ref="A8:C8"/>
    <mergeCell ref="D8:E8"/>
    <mergeCell ref="F8:G8"/>
    <mergeCell ref="H8:X8"/>
    <mergeCell ref="Y8:AB8"/>
    <mergeCell ref="A3:AF3"/>
    <mergeCell ref="I5:M5"/>
    <mergeCell ref="N5:W5"/>
    <mergeCell ref="X5:Z5"/>
    <mergeCell ref="AA5:AF5"/>
    <mergeCell ref="X6:Z6"/>
    <mergeCell ref="AC11:AF23"/>
    <mergeCell ref="H14:H15"/>
    <mergeCell ref="I14:I15"/>
    <mergeCell ref="J14:L15"/>
    <mergeCell ref="M14:M15"/>
    <mergeCell ref="N14:P15"/>
    <mergeCell ref="H16:H17"/>
    <mergeCell ref="I16:I17"/>
    <mergeCell ref="J16:L17"/>
    <mergeCell ref="M16:M17"/>
    <mergeCell ref="N16:P17"/>
    <mergeCell ref="H19:H20"/>
    <mergeCell ref="I19:I20"/>
    <mergeCell ref="AC9:AF10"/>
    <mergeCell ref="AC8:AF8"/>
    <mergeCell ref="J19:K20"/>
    <mergeCell ref="L19:L20"/>
    <mergeCell ref="M19:N20"/>
    <mergeCell ref="I6:M6"/>
    <mergeCell ref="N6:W6"/>
  </mergeCells>
  <phoneticPr fontId="1"/>
  <conditionalFormatting sqref="A1:AF4 A7:AF10 A24:AF1048576">
    <cfRule type="expression" dxfId="6" priority="3">
      <formula>CELL("protect",A1)=0</formula>
    </cfRule>
  </conditionalFormatting>
  <conditionalFormatting sqref="A11:AF23">
    <cfRule type="expression" dxfId="5" priority="1">
      <formula>CELL("protect",A11)=0</formula>
    </cfRule>
  </conditionalFormatting>
  <dataValidations count="1">
    <dataValidation type="list" allowBlank="1" showInputMessage="1" showErrorMessage="1" sqref="Y88:Y89 Y135:Y136 M24:M27 L28:L30 O33 U34 Q48:Q49 Y47:Y48 L55:L58 U48 O62:O64 Q89:Q90 U89 N97 S97 L96 M100 O106:O108 R108 Q136:Q137 U136 P101 O149:O151 F57:F58 D31:D39 A163 A99 L32:L33 L35:L46 M31 O37 R64 R151 M146 Q34 O58 A57 R87 Y24:Y25 M34 R45:R46 M59 L98:L99 O45:O46 L143:L145 O67 O111 U173 L60:L67 U111 L102:L111 U24 U46 U67 L147:L154 R154 R134 O173 D163 A35 D57 R67 Q69:Q70 Y68:Y69 L75:L78 U69 O82:O84 M68:M74 M47:M54 R84 O78 A77 F77:F78 M79 O87 L80:L87 U87 D77 D98:D99 R111 Y112:Y113 Q113:Q114 U113 N120 S120 L119 M123 O129:O131 R131 P124 A122 L121:L122 O134 U134 L125:L134 M88:M95 D122:D123 M135:M142 U154 O154 Y155:Y156 Q156:Q157 U156 A144 O168:O170 R170 M155:M161 M165 L162:L164 L166:L173 R173 D144 M112:M118 I9:I173 U9:U10 M9:M12 Q9:Q10 Q24:Q25 O23 A17 D16:D18 Q18 M14:M18 L19:L23 L13 Y11:Y12" xr:uid="{A6D4CB74-FB9A-453E-80A4-376EFBF5B6F3}">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7" manualBreakCount="7">
    <brk id="23" max="31" man="1"/>
    <brk id="46" max="31" man="1"/>
    <brk id="67" max="31" man="1"/>
    <brk id="87" max="31" man="1"/>
    <brk id="111" max="31" man="1"/>
    <brk id="134" max="16383" man="1"/>
    <brk id="154" max="16383" man="1"/>
  </rowBreaks>
  <extLst>
    <ext xmlns:x14="http://schemas.microsoft.com/office/spreadsheetml/2009/9/main" uri="{78C0D931-6437-407d-A8EE-F0AAD7539E65}">
      <x14:conditionalFormattings>
        <x14:conditionalFormatting xmlns:xm="http://schemas.microsoft.com/office/excel/2006/main">
          <x14:cfRule type="expression" priority="2" id="{C42F0994-921E-4B82-A182-573324D097E6}">
            <xm:f>CELL("protect",'\\fk13sv01\FileSV\健康福祉部\福祉指導監査課\☆福祉指導監査課☆\05 指定居宅サービス等関係\17 報酬改定\R7_報酬改定\070331 電子申請届出システムに用いる体制表（確定版）につきまして\[（修正版）体制等状況一覧表20250328_012.xlsx]居宅'!#REF!)=0</xm:f>
            <x14:dxf>
              <fill>
                <patternFill>
                  <bgColor theme="9" tint="0.79998168889431442"/>
                </patternFill>
              </fill>
            </x14:dxf>
          </x14:cfRule>
          <xm:sqref>A5:AF6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73581-67EF-4043-BCB8-5EB9EA9288FE}">
  <sheetPr>
    <pageSetUpPr fitToPage="1"/>
  </sheetPr>
  <dimension ref="A2:AL153"/>
  <sheetViews>
    <sheetView view="pageBreakPreview" zoomScale="70" zoomScaleNormal="75" zoomScaleSheetLayoutView="70" workbookViewId="0"/>
  </sheetViews>
  <sheetFormatPr defaultRowHeight="13.5" x14ac:dyDescent="0.15"/>
  <cols>
    <col min="1" max="2" width="4.25" style="118" customWidth="1"/>
    <col min="3" max="3" width="25" style="146" customWidth="1"/>
    <col min="4" max="4" width="4.875" style="146" customWidth="1"/>
    <col min="5" max="5" width="41.625" style="146" customWidth="1"/>
    <col min="6" max="6" width="4.875" style="146" customWidth="1"/>
    <col min="7" max="7" width="19.625" style="146" customWidth="1"/>
    <col min="8" max="8" width="33.875" style="146" customWidth="1"/>
    <col min="9" max="24" width="5.25" style="146" customWidth="1"/>
    <col min="25" max="32" width="4.875" style="146" customWidth="1"/>
    <col min="33" max="33" width="13.375" style="146" hidden="1" customWidth="1"/>
    <col min="34" max="38" width="0" style="146" hidden="1" customWidth="1"/>
    <col min="39" max="16384" width="9" style="146"/>
  </cols>
  <sheetData>
    <row r="2" spans="1:36" ht="20.25" customHeight="1" x14ac:dyDescent="0.15">
      <c r="A2" s="237" t="s">
        <v>255</v>
      </c>
      <c r="B2" s="237"/>
    </row>
    <row r="3" spans="1:36" ht="20.25" customHeight="1" x14ac:dyDescent="0.15">
      <c r="A3" s="327" t="s">
        <v>239</v>
      </c>
      <c r="B3" s="327"/>
      <c r="C3" s="327"/>
      <c r="D3" s="327"/>
      <c r="E3" s="327"/>
      <c r="F3" s="327"/>
      <c r="G3" s="327"/>
      <c r="H3" s="327"/>
      <c r="I3" s="327"/>
      <c r="J3" s="327"/>
      <c r="K3" s="327"/>
      <c r="L3" s="327"/>
      <c r="M3" s="327"/>
      <c r="N3" s="327"/>
      <c r="O3" s="327"/>
      <c r="P3" s="327"/>
      <c r="Q3" s="327"/>
      <c r="R3" s="327"/>
      <c r="S3" s="327"/>
      <c r="T3" s="327"/>
      <c r="U3" s="327"/>
      <c r="V3" s="327"/>
      <c r="W3" s="327"/>
      <c r="X3" s="327"/>
      <c r="Y3" s="327"/>
      <c r="Z3" s="327"/>
      <c r="AA3" s="327"/>
      <c r="AB3" s="327"/>
      <c r="AC3" s="327"/>
      <c r="AD3" s="327"/>
      <c r="AE3" s="327"/>
      <c r="AF3" s="327"/>
    </row>
    <row r="4" spans="1:36" ht="20.25" customHeight="1" x14ac:dyDescent="0.15"/>
    <row r="5" spans="1:36" ht="27" customHeight="1" x14ac:dyDescent="0.15">
      <c r="I5" s="331" t="s">
        <v>257</v>
      </c>
      <c r="J5" s="331"/>
      <c r="K5" s="331"/>
      <c r="L5" s="331"/>
      <c r="M5" s="331"/>
      <c r="N5" s="331"/>
      <c r="O5" s="331"/>
      <c r="P5" s="331"/>
      <c r="Q5" s="331"/>
      <c r="R5" s="331"/>
      <c r="S5" s="331"/>
      <c r="T5" s="331"/>
      <c r="U5" s="331"/>
      <c r="V5" s="331"/>
      <c r="W5" s="331"/>
      <c r="X5" s="329" t="s">
        <v>82</v>
      </c>
      <c r="Y5" s="329"/>
      <c r="Z5" s="330"/>
      <c r="AA5" s="332" t="s">
        <v>258</v>
      </c>
      <c r="AB5" s="333"/>
      <c r="AC5" s="333"/>
      <c r="AD5" s="333"/>
      <c r="AE5" s="333"/>
      <c r="AF5" s="334"/>
    </row>
    <row r="6" spans="1:36" ht="27.75" customHeight="1" x14ac:dyDescent="0.15">
      <c r="I6" s="331" t="s">
        <v>20</v>
      </c>
      <c r="J6" s="331"/>
      <c r="K6" s="331"/>
      <c r="L6" s="331"/>
      <c r="M6" s="331"/>
      <c r="N6" s="335" t="s">
        <v>259</v>
      </c>
      <c r="O6" s="335"/>
      <c r="P6" s="335"/>
      <c r="Q6" s="335"/>
      <c r="R6" s="335"/>
      <c r="S6" s="335"/>
      <c r="T6" s="335"/>
      <c r="U6" s="335"/>
      <c r="V6" s="335"/>
      <c r="W6" s="335"/>
      <c r="X6" s="331" t="s">
        <v>260</v>
      </c>
      <c r="Y6" s="331"/>
      <c r="Z6" s="331"/>
      <c r="AA6" s="111"/>
      <c r="AB6" s="112" t="s">
        <v>35</v>
      </c>
      <c r="AC6" s="112"/>
      <c r="AD6" s="112" t="s">
        <v>252</v>
      </c>
      <c r="AE6" s="112"/>
      <c r="AF6" s="113" t="s">
        <v>253</v>
      </c>
    </row>
    <row r="7" spans="1:36" ht="20.25" customHeight="1" x14ac:dyDescent="0.15">
      <c r="AG7" s="109"/>
    </row>
    <row r="8" spans="1:36" ht="17.25" customHeight="1" x14ac:dyDescent="0.15">
      <c r="A8" s="328" t="s">
        <v>83</v>
      </c>
      <c r="B8" s="329"/>
      <c r="C8" s="330"/>
      <c r="D8" s="328" t="s">
        <v>1</v>
      </c>
      <c r="E8" s="330"/>
      <c r="F8" s="328" t="s">
        <v>84</v>
      </c>
      <c r="G8" s="330"/>
      <c r="H8" s="328" t="s">
        <v>240</v>
      </c>
      <c r="I8" s="329"/>
      <c r="J8" s="329"/>
      <c r="K8" s="329"/>
      <c r="L8" s="329"/>
      <c r="M8" s="329"/>
      <c r="N8" s="329"/>
      <c r="O8" s="329"/>
      <c r="P8" s="329"/>
      <c r="Q8" s="329"/>
      <c r="R8" s="329"/>
      <c r="S8" s="329"/>
      <c r="T8" s="329"/>
      <c r="U8" s="329"/>
      <c r="V8" s="329"/>
      <c r="W8" s="329"/>
      <c r="X8" s="330"/>
      <c r="Y8" s="328" t="s">
        <v>140</v>
      </c>
      <c r="Z8" s="329"/>
      <c r="AA8" s="329"/>
      <c r="AB8" s="330"/>
      <c r="AC8" s="328" t="s">
        <v>85</v>
      </c>
      <c r="AD8" s="329"/>
      <c r="AE8" s="329"/>
      <c r="AF8" s="330"/>
      <c r="AG8" s="109"/>
    </row>
    <row r="9" spans="1:36" ht="18.75" customHeight="1" x14ac:dyDescent="0.15">
      <c r="A9" s="336" t="s">
        <v>86</v>
      </c>
      <c r="B9" s="337"/>
      <c r="C9" s="338"/>
      <c r="D9" s="230"/>
      <c r="E9" s="192"/>
      <c r="F9" s="125"/>
      <c r="G9" s="192"/>
      <c r="H9" s="342" t="s">
        <v>87</v>
      </c>
      <c r="I9" s="227" t="s">
        <v>196</v>
      </c>
      <c r="J9" s="115" t="s">
        <v>144</v>
      </c>
      <c r="K9" s="116"/>
      <c r="L9" s="116"/>
      <c r="M9" s="227" t="s">
        <v>196</v>
      </c>
      <c r="N9" s="115" t="s">
        <v>145</v>
      </c>
      <c r="O9" s="116"/>
      <c r="P9" s="116"/>
      <c r="Q9" s="227" t="s">
        <v>196</v>
      </c>
      <c r="R9" s="115" t="s">
        <v>146</v>
      </c>
      <c r="S9" s="116"/>
      <c r="T9" s="116"/>
      <c r="U9" s="227" t="s">
        <v>196</v>
      </c>
      <c r="V9" s="115" t="s">
        <v>147</v>
      </c>
      <c r="W9" s="116"/>
      <c r="X9" s="117"/>
      <c r="Y9" s="321"/>
      <c r="Z9" s="322"/>
      <c r="AA9" s="322"/>
      <c r="AB9" s="323"/>
      <c r="AC9" s="321"/>
      <c r="AD9" s="322"/>
      <c r="AE9" s="322"/>
      <c r="AF9" s="323"/>
      <c r="AG9" s="109" t="str">
        <f>"tiikikbn_code:"&amp; IF(I9="■",1,IF(M9="■",6,IF(Q9="■",7,IF(U9="■",2,IF(I10="■",3,IF(M10="■",4,IF(Q10="■",9,IF(U10="■",5,0))))))))</f>
        <v>tiikikbn_code:0</v>
      </c>
    </row>
    <row r="10" spans="1:36" ht="18.75" customHeight="1" x14ac:dyDescent="0.15">
      <c r="A10" s="400"/>
      <c r="B10" s="401"/>
      <c r="C10" s="402"/>
      <c r="D10" s="232"/>
      <c r="E10" s="194"/>
      <c r="F10" s="159"/>
      <c r="G10" s="194"/>
      <c r="H10" s="403"/>
      <c r="I10" s="233" t="s">
        <v>196</v>
      </c>
      <c r="J10" s="89" t="s">
        <v>148</v>
      </c>
      <c r="K10" s="234"/>
      <c r="L10" s="234"/>
      <c r="M10" s="181" t="s">
        <v>196</v>
      </c>
      <c r="N10" s="89" t="s">
        <v>149</v>
      </c>
      <c r="O10" s="234"/>
      <c r="P10" s="234"/>
      <c r="Q10" s="181" t="s">
        <v>196</v>
      </c>
      <c r="R10" s="89" t="s">
        <v>150</v>
      </c>
      <c r="S10" s="234"/>
      <c r="T10" s="234"/>
      <c r="U10" s="181" t="s">
        <v>196</v>
      </c>
      <c r="V10" s="89" t="s">
        <v>151</v>
      </c>
      <c r="W10" s="234"/>
      <c r="X10" s="160"/>
      <c r="Y10" s="404"/>
      <c r="Z10" s="405"/>
      <c r="AA10" s="405"/>
      <c r="AB10" s="406"/>
      <c r="AC10" s="404"/>
      <c r="AD10" s="405"/>
      <c r="AE10" s="405"/>
      <c r="AF10" s="406"/>
      <c r="AG10" s="109"/>
    </row>
    <row r="11" spans="1:36" s="1" customFormat="1" ht="19.5" customHeight="1" x14ac:dyDescent="0.15">
      <c r="A11" s="261"/>
      <c r="B11" s="242"/>
      <c r="C11" s="247"/>
      <c r="D11" s="264"/>
      <c r="E11" s="248"/>
      <c r="F11" s="244"/>
      <c r="G11" s="266"/>
      <c r="H11" s="316" t="s">
        <v>215</v>
      </c>
      <c r="I11" s="268" t="s">
        <v>196</v>
      </c>
      <c r="J11" s="269" t="s">
        <v>197</v>
      </c>
      <c r="K11" s="270"/>
      <c r="L11" s="271"/>
      <c r="M11" s="272" t="s">
        <v>196</v>
      </c>
      <c r="N11" s="269" t="s">
        <v>216</v>
      </c>
      <c r="O11" s="269"/>
      <c r="P11" s="269"/>
      <c r="Q11" s="274"/>
      <c r="R11" s="274"/>
      <c r="S11" s="274"/>
      <c r="T11" s="274"/>
      <c r="U11" s="274"/>
      <c r="V11" s="274"/>
      <c r="W11" s="274"/>
      <c r="X11" s="275"/>
      <c r="Y11" s="276" t="s">
        <v>196</v>
      </c>
      <c r="Z11" s="2" t="s">
        <v>152</v>
      </c>
      <c r="AA11" s="2"/>
      <c r="AB11" s="278"/>
      <c r="AC11" s="361"/>
      <c r="AD11" s="362"/>
      <c r="AE11" s="362"/>
      <c r="AF11" s="363"/>
      <c r="AG11" s="260" t="str">
        <f>"ser_code = '" &amp; IF(A15="■",64,"") &amp; "'"</f>
        <v>ser_code = ''</v>
      </c>
      <c r="AH11" s="260"/>
      <c r="AI11" s="260" t="str">
        <f>"64:field223:" &amp; IF(I11="■",1,IF(M11="■",2,0))</f>
        <v>64:field223:0</v>
      </c>
      <c r="AJ11" s="260" t="str">
        <f>"64:field203:" &amp; IF(Y11="■",1,IF(Y12="■",2,0))</f>
        <v>64:field203:0</v>
      </c>
    </row>
    <row r="12" spans="1:36" s="260" customFormat="1" ht="19.5" customHeight="1" x14ac:dyDescent="0.15">
      <c r="A12" s="261"/>
      <c r="B12" s="262"/>
      <c r="C12" s="263"/>
      <c r="D12" s="264"/>
      <c r="E12" s="265"/>
      <c r="F12" s="245"/>
      <c r="G12" s="266"/>
      <c r="H12" s="267" t="s">
        <v>226</v>
      </c>
      <c r="I12" s="268" t="s">
        <v>196</v>
      </c>
      <c r="J12" s="269" t="s">
        <v>197</v>
      </c>
      <c r="K12" s="270"/>
      <c r="L12" s="271"/>
      <c r="M12" s="272" t="s">
        <v>196</v>
      </c>
      <c r="N12" s="269" t="s">
        <v>216</v>
      </c>
      <c r="O12" s="273"/>
      <c r="P12" s="269"/>
      <c r="Q12" s="274"/>
      <c r="R12" s="274"/>
      <c r="S12" s="274"/>
      <c r="T12" s="274"/>
      <c r="U12" s="274"/>
      <c r="V12" s="274"/>
      <c r="W12" s="274"/>
      <c r="X12" s="275"/>
      <c r="Y12" s="276" t="s">
        <v>196</v>
      </c>
      <c r="Z12" s="2" t="s">
        <v>156</v>
      </c>
      <c r="AA12" s="277"/>
      <c r="AB12" s="278"/>
      <c r="AC12" s="364"/>
      <c r="AD12" s="365"/>
      <c r="AE12" s="365"/>
      <c r="AF12" s="366"/>
      <c r="AG12" s="260" t="str">
        <f>"64:sisetukbn_code:" &amp; IF(D14="■",1,IF(D15="■",2,IF(D16="■",3,0)))</f>
        <v>64:sisetukbn_code:0</v>
      </c>
      <c r="AI12" s="260" t="str">
        <f>"64:field232:" &amp; IF(I12="■",1,IF(M12="■",2,0))</f>
        <v>64:field232:0</v>
      </c>
    </row>
    <row r="13" spans="1:36" s="1" customFormat="1" ht="18.75" customHeight="1" x14ac:dyDescent="0.15">
      <c r="A13" s="261"/>
      <c r="B13" s="262"/>
      <c r="C13" s="317"/>
      <c r="D13" s="245"/>
      <c r="E13" s="265"/>
      <c r="F13" s="245"/>
      <c r="G13" s="266"/>
      <c r="H13" s="279" t="s">
        <v>261</v>
      </c>
      <c r="I13" s="276" t="s">
        <v>196</v>
      </c>
      <c r="J13" s="281" t="s">
        <v>153</v>
      </c>
      <c r="K13" s="282"/>
      <c r="L13" s="276" t="s">
        <v>196</v>
      </c>
      <c r="M13" s="281" t="s">
        <v>161</v>
      </c>
      <c r="N13" s="281"/>
      <c r="O13" s="281"/>
      <c r="P13" s="281"/>
      <c r="Q13" s="283"/>
      <c r="R13" s="283"/>
      <c r="S13" s="283"/>
      <c r="T13" s="283"/>
      <c r="U13" s="283"/>
      <c r="V13" s="283"/>
      <c r="W13" s="283"/>
      <c r="X13" s="284"/>
      <c r="Z13" s="2"/>
      <c r="AA13" s="277"/>
      <c r="AB13" s="278"/>
      <c r="AC13" s="364"/>
      <c r="AD13" s="365"/>
      <c r="AE13" s="365"/>
      <c r="AF13" s="366"/>
      <c r="AG13" s="260"/>
      <c r="AH13" s="260"/>
      <c r="AI13" s="260" t="str">
        <f>"64:tokutiiki_code:" &amp; IF(I13="■",1,IF(L13="■",2,0))</f>
        <v>64:tokutiiki_code:0</v>
      </c>
      <c r="AJ13" s="260"/>
    </row>
    <row r="14" spans="1:36" s="1" customFormat="1" ht="18.75" customHeight="1" x14ac:dyDescent="0.15">
      <c r="A14" s="261"/>
      <c r="B14" s="262"/>
      <c r="C14" s="317"/>
      <c r="D14" s="276" t="s">
        <v>196</v>
      </c>
      <c r="E14" s="265" t="s">
        <v>214</v>
      </c>
      <c r="F14" s="245"/>
      <c r="G14" s="266"/>
      <c r="H14" s="370" t="s">
        <v>270</v>
      </c>
      <c r="I14" s="374" t="s">
        <v>196</v>
      </c>
      <c r="J14" s="357" t="s">
        <v>263</v>
      </c>
      <c r="K14" s="357"/>
      <c r="L14" s="357"/>
      <c r="M14" s="374" t="s">
        <v>196</v>
      </c>
      <c r="N14" s="357" t="s">
        <v>264</v>
      </c>
      <c r="O14" s="357"/>
      <c r="P14" s="357"/>
      <c r="Q14" s="285"/>
      <c r="R14" s="285"/>
      <c r="S14" s="285"/>
      <c r="T14" s="285"/>
      <c r="U14" s="285"/>
      <c r="V14" s="285"/>
      <c r="W14" s="285"/>
      <c r="X14" s="286"/>
      <c r="AB14" s="278"/>
      <c r="AC14" s="364"/>
      <c r="AD14" s="365"/>
      <c r="AE14" s="365"/>
      <c r="AF14" s="366"/>
      <c r="AG14" s="260"/>
      <c r="AH14" s="260"/>
      <c r="AI14" s="260" t="str">
        <f>"64:chuusankanti_tiiki_code:" &amp; IF(I14="■",1,IF(M14="■",2,0))</f>
        <v>64:chuusankanti_tiiki_code:0</v>
      </c>
      <c r="AJ14" s="260"/>
    </row>
    <row r="15" spans="1:36" s="1" customFormat="1" ht="18.75" customHeight="1" x14ac:dyDescent="0.15">
      <c r="A15" s="280" t="s">
        <v>196</v>
      </c>
      <c r="B15" s="262">
        <v>64</v>
      </c>
      <c r="C15" s="317" t="s">
        <v>271</v>
      </c>
      <c r="D15" s="276" t="s">
        <v>196</v>
      </c>
      <c r="E15" s="265" t="s">
        <v>165</v>
      </c>
      <c r="F15" s="245"/>
      <c r="G15" s="266"/>
      <c r="H15" s="371"/>
      <c r="I15" s="375"/>
      <c r="J15" s="358"/>
      <c r="K15" s="358"/>
      <c r="L15" s="358"/>
      <c r="M15" s="375"/>
      <c r="N15" s="358"/>
      <c r="O15" s="358"/>
      <c r="P15" s="358"/>
      <c r="Q15" s="283"/>
      <c r="R15" s="283"/>
      <c r="S15" s="283"/>
      <c r="T15" s="283"/>
      <c r="U15" s="283"/>
      <c r="V15" s="283"/>
      <c r="W15" s="283"/>
      <c r="X15" s="284"/>
      <c r="Y15" s="287"/>
      <c r="Z15" s="277"/>
      <c r="AA15" s="277"/>
      <c r="AB15" s="278"/>
      <c r="AC15" s="364"/>
      <c r="AD15" s="365"/>
      <c r="AE15" s="365"/>
      <c r="AF15" s="366"/>
      <c r="AG15" s="260"/>
      <c r="AH15" s="260"/>
      <c r="AI15" s="260"/>
      <c r="AJ15" s="260"/>
    </row>
    <row r="16" spans="1:36" s="1" customFormat="1" ht="18.75" customHeight="1" x14ac:dyDescent="0.15">
      <c r="A16" s="261"/>
      <c r="B16" s="262"/>
      <c r="C16" s="317" t="s">
        <v>241</v>
      </c>
      <c r="D16" s="276" t="s">
        <v>196</v>
      </c>
      <c r="E16" s="265" t="s">
        <v>166</v>
      </c>
      <c r="F16" s="245"/>
      <c r="G16" s="266"/>
      <c r="H16" s="370" t="s">
        <v>272</v>
      </c>
      <c r="I16" s="374" t="s">
        <v>196</v>
      </c>
      <c r="J16" s="357" t="s">
        <v>263</v>
      </c>
      <c r="K16" s="357"/>
      <c r="L16" s="357"/>
      <c r="M16" s="374" t="s">
        <v>196</v>
      </c>
      <c r="N16" s="357" t="s">
        <v>264</v>
      </c>
      <c r="O16" s="357"/>
      <c r="P16" s="357"/>
      <c r="Q16" s="285"/>
      <c r="R16" s="285"/>
      <c r="S16" s="285"/>
      <c r="T16" s="285"/>
      <c r="U16" s="285"/>
      <c r="V16" s="285"/>
      <c r="W16" s="285"/>
      <c r="X16" s="286"/>
      <c r="Y16" s="287"/>
      <c r="Z16" s="277"/>
      <c r="AA16" s="277"/>
      <c r="AB16" s="278"/>
      <c r="AC16" s="364"/>
      <c r="AD16" s="365"/>
      <c r="AE16" s="365"/>
      <c r="AF16" s="366"/>
      <c r="AI16" s="260" t="str">
        <f>"64:chuusankanti_kibo_code:" &amp; IF(I16="■",1,IF(M16="■",2,0))</f>
        <v>64:chuusankanti_kibo_code:0</v>
      </c>
    </row>
    <row r="17" spans="1:36" s="1" customFormat="1" ht="18.75" customHeight="1" x14ac:dyDescent="0.15">
      <c r="A17" s="261"/>
      <c r="B17" s="262"/>
      <c r="C17" s="317"/>
      <c r="D17" s="264"/>
      <c r="E17" s="265"/>
      <c r="F17" s="245"/>
      <c r="G17" s="266"/>
      <c r="H17" s="371"/>
      <c r="I17" s="375"/>
      <c r="J17" s="358"/>
      <c r="K17" s="358"/>
      <c r="L17" s="358"/>
      <c r="M17" s="375"/>
      <c r="N17" s="358"/>
      <c r="O17" s="358"/>
      <c r="P17" s="358"/>
      <c r="Q17" s="283"/>
      <c r="R17" s="283"/>
      <c r="S17" s="283"/>
      <c r="T17" s="283"/>
      <c r="U17" s="283"/>
      <c r="V17" s="283"/>
      <c r="W17" s="283"/>
      <c r="X17" s="284"/>
      <c r="Y17" s="287"/>
      <c r="Z17" s="277"/>
      <c r="AA17" s="277"/>
      <c r="AB17" s="278"/>
      <c r="AC17" s="364"/>
      <c r="AD17" s="365"/>
      <c r="AE17" s="365"/>
      <c r="AF17" s="366"/>
    </row>
    <row r="18" spans="1:36" s="1" customFormat="1" ht="19.5" customHeight="1" x14ac:dyDescent="0.15">
      <c r="A18" s="261"/>
      <c r="B18" s="262"/>
      <c r="C18" s="263"/>
      <c r="D18" s="264"/>
      <c r="E18" s="265"/>
      <c r="F18" s="245"/>
      <c r="G18" s="266"/>
      <c r="H18" s="267" t="s">
        <v>217</v>
      </c>
      <c r="I18" s="268" t="s">
        <v>196</v>
      </c>
      <c r="J18" s="269" t="s">
        <v>153</v>
      </c>
      <c r="K18" s="269"/>
      <c r="L18" s="272" t="s">
        <v>196</v>
      </c>
      <c r="M18" s="269" t="s">
        <v>161</v>
      </c>
      <c r="N18" s="269"/>
      <c r="O18" s="274"/>
      <c r="P18" s="269"/>
      <c r="Q18" s="274"/>
      <c r="R18" s="274"/>
      <c r="S18" s="274"/>
      <c r="T18" s="274"/>
      <c r="U18" s="274"/>
      <c r="V18" s="274"/>
      <c r="W18" s="274"/>
      <c r="X18" s="275"/>
      <c r="Y18" s="277"/>
      <c r="Z18" s="277"/>
      <c r="AA18" s="277"/>
      <c r="AB18" s="278"/>
      <c r="AC18" s="364"/>
      <c r="AD18" s="365"/>
      <c r="AE18" s="365"/>
      <c r="AF18" s="366"/>
      <c r="AI18" s="260" t="str">
        <f>"64:field224:" &amp; IF(I18="■",1,IF(L18="■",2,0))</f>
        <v>64:field224:0</v>
      </c>
    </row>
    <row r="19" spans="1:36" s="1" customFormat="1" ht="18.75" customHeight="1" x14ac:dyDescent="0.15">
      <c r="A19" s="303"/>
      <c r="B19" s="243"/>
      <c r="C19" s="318"/>
      <c r="D19" s="246"/>
      <c r="E19" s="306"/>
      <c r="F19" s="246"/>
      <c r="G19" s="307"/>
      <c r="H19" s="319" t="s">
        <v>103</v>
      </c>
      <c r="I19" s="309" t="s">
        <v>196</v>
      </c>
      <c r="J19" s="43" t="s">
        <v>153</v>
      </c>
      <c r="K19" s="43"/>
      <c r="L19" s="310" t="s">
        <v>196</v>
      </c>
      <c r="M19" s="43" t="s">
        <v>162</v>
      </c>
      <c r="N19" s="43"/>
      <c r="O19" s="310" t="s">
        <v>196</v>
      </c>
      <c r="P19" s="43" t="s">
        <v>164</v>
      </c>
      <c r="Q19" s="311"/>
      <c r="R19" s="320"/>
      <c r="S19" s="311"/>
      <c r="T19" s="311"/>
      <c r="U19" s="311"/>
      <c r="V19" s="311"/>
      <c r="W19" s="311"/>
      <c r="X19" s="312"/>
      <c r="Y19" s="313"/>
      <c r="Z19" s="314"/>
      <c r="AA19" s="314"/>
      <c r="AB19" s="315"/>
      <c r="AC19" s="367"/>
      <c r="AD19" s="368"/>
      <c r="AE19" s="368"/>
      <c r="AF19" s="369"/>
      <c r="AI19" s="260" t="str">
        <f>"64:serteikyo_kyoka_code:" &amp; IF(I19="■",1,IF(L19="■",3,IF(O19="■",4,0)))</f>
        <v>64:serteikyo_kyoka_code:0</v>
      </c>
    </row>
    <row r="20" spans="1:36" ht="18.75" customHeight="1" x14ac:dyDescent="0.15">
      <c r="A20" s="122"/>
      <c r="B20" s="123"/>
      <c r="C20" s="235"/>
      <c r="D20" s="126"/>
      <c r="E20" s="117"/>
      <c r="F20" s="126"/>
      <c r="G20" s="127"/>
      <c r="H20" s="342" t="s">
        <v>89</v>
      </c>
      <c r="I20" s="225" t="s">
        <v>196</v>
      </c>
      <c r="J20" s="115" t="s">
        <v>153</v>
      </c>
      <c r="K20" s="115"/>
      <c r="L20" s="202"/>
      <c r="M20" s="227" t="s">
        <v>196</v>
      </c>
      <c r="N20" s="115" t="s">
        <v>168</v>
      </c>
      <c r="O20" s="115"/>
      <c r="P20" s="202"/>
      <c r="Q20" s="227" t="s">
        <v>196</v>
      </c>
      <c r="R20" s="226" t="s">
        <v>169</v>
      </c>
      <c r="S20" s="226"/>
      <c r="T20" s="226"/>
      <c r="U20" s="227" t="s">
        <v>196</v>
      </c>
      <c r="V20" s="226" t="s">
        <v>170</v>
      </c>
      <c r="W20" s="226"/>
      <c r="X20" s="192"/>
      <c r="Y20" s="227" t="s">
        <v>196</v>
      </c>
      <c r="Z20" s="115" t="s">
        <v>152</v>
      </c>
      <c r="AA20" s="115"/>
      <c r="AB20" s="128"/>
      <c r="AC20" s="391"/>
      <c r="AD20" s="392"/>
      <c r="AE20" s="392"/>
      <c r="AF20" s="393"/>
      <c r="AG20" s="109" t="str">
        <f>"ser_code = '" &amp; IF(A25="■",66,"") &amp; "'"</f>
        <v>ser_code = ''</v>
      </c>
      <c r="AH20" s="109"/>
      <c r="AI20" s="109" t="str">
        <f>"66:"&amp;IF(AND(I20="□",M20="□",Q20="□",U20="□",I21="□",M21="□",Q21="□"),"ketu_doctor_code:0",IF(I20="■","ketu_doctor_code:1:ketu_kangos_code:1:ketu_kshoku_code:1:ketu_rryoho_code:1:ketu_sryoho_code:1:ketu_gengo_code:1",
IF(M20="■","ketu_doctor_code:2","ketu_doctor_code:1")
&amp;IF(Q20="■",":ketu_kangos_code:2",":ketu_kangos_code:1")
&amp;IF(U20="■",":ketu_kshoku_code:2",":ketu_kshoku_code:1")
&amp;IF(I21="■",":ketu_rryoho_code:2",":ketu_rryoho_code:1")
&amp;IF(M21="■",":ketu_sryoho_code:2",":ketu_sryoho_code:1")
&amp;IF(Q21="■",":ketu_gengo_code:2",":ketu_gengo_code:1")))</f>
        <v>66:ketu_doctor_code:0</v>
      </c>
      <c r="AJ20" s="109" t="str">
        <f>"66:field203:" &amp; IF(Y20="■",1,IF(Y21="■",2,0))</f>
        <v>66:field203:0</v>
      </c>
    </row>
    <row r="21" spans="1:36" ht="18.75" customHeight="1" x14ac:dyDescent="0.15">
      <c r="A21" s="97"/>
      <c r="B21" s="119"/>
      <c r="C21" s="236"/>
      <c r="D21" s="102"/>
      <c r="E21" s="101"/>
      <c r="F21" s="102"/>
      <c r="G21" s="103"/>
      <c r="H21" s="343"/>
      <c r="I21" s="196" t="s">
        <v>196</v>
      </c>
      <c r="J21" s="94" t="s">
        <v>171</v>
      </c>
      <c r="M21" s="197" t="s">
        <v>196</v>
      </c>
      <c r="N21" s="94" t="s">
        <v>172</v>
      </c>
      <c r="Q21" s="197" t="s">
        <v>196</v>
      </c>
      <c r="R21" s="94" t="s">
        <v>173</v>
      </c>
      <c r="X21" s="153"/>
      <c r="Y21" s="197" t="s">
        <v>196</v>
      </c>
      <c r="Z21" s="94" t="s">
        <v>156</v>
      </c>
      <c r="AA21" s="95"/>
      <c r="AB21" s="96"/>
      <c r="AC21" s="394"/>
      <c r="AD21" s="395"/>
      <c r="AE21" s="395"/>
      <c r="AF21" s="396"/>
      <c r="AG21" s="109" t="str">
        <f>"66:sisetukbn_code:" &amp; IF(D24="■",1,IF(D25="■",2,IF(D26="■",3,0)))</f>
        <v>66:sisetukbn_code:0</v>
      </c>
      <c r="AH21" s="109"/>
      <c r="AI21" s="109"/>
      <c r="AJ21" s="109"/>
    </row>
    <row r="22" spans="1:36" ht="19.5" customHeight="1" x14ac:dyDescent="0.15">
      <c r="A22" s="97"/>
      <c r="B22" s="119"/>
      <c r="C22" s="236"/>
      <c r="D22" s="102"/>
      <c r="E22" s="101"/>
      <c r="F22" s="102"/>
      <c r="G22" s="103"/>
      <c r="H22" s="104" t="s">
        <v>215</v>
      </c>
      <c r="I22" s="135" t="s">
        <v>196</v>
      </c>
      <c r="J22" s="136" t="s">
        <v>197</v>
      </c>
      <c r="K22" s="137"/>
      <c r="L22" s="138"/>
      <c r="M22" s="139" t="s">
        <v>196</v>
      </c>
      <c r="N22" s="136" t="s">
        <v>216</v>
      </c>
      <c r="O22" s="136"/>
      <c r="P22" s="136"/>
      <c r="Q22" s="141"/>
      <c r="R22" s="141"/>
      <c r="S22" s="141"/>
      <c r="T22" s="141"/>
      <c r="U22" s="141"/>
      <c r="V22" s="141"/>
      <c r="W22" s="141"/>
      <c r="X22" s="142"/>
      <c r="Y22" s="134"/>
      <c r="Z22" s="95"/>
      <c r="AA22" s="95"/>
      <c r="AB22" s="96"/>
      <c r="AC22" s="394"/>
      <c r="AD22" s="395"/>
      <c r="AE22" s="395"/>
      <c r="AF22" s="396"/>
      <c r="AG22" s="238"/>
      <c r="AI22" s="109" t="str">
        <f>"66:field223:" &amp; IF(I22="■",1,IF(M22="■",2,0))</f>
        <v>66:field223:0</v>
      </c>
    </row>
    <row r="23" spans="1:36" ht="19.5" customHeight="1" x14ac:dyDescent="0.15">
      <c r="A23" s="97"/>
      <c r="B23" s="119"/>
      <c r="C23" s="99"/>
      <c r="D23" s="100"/>
      <c r="E23" s="101"/>
      <c r="F23" s="102"/>
      <c r="G23" s="103"/>
      <c r="H23" s="224" t="s">
        <v>226</v>
      </c>
      <c r="I23" s="152" t="s">
        <v>196</v>
      </c>
      <c r="J23" s="105" t="s">
        <v>197</v>
      </c>
      <c r="K23" s="154"/>
      <c r="L23" s="106"/>
      <c r="M23" s="191" t="s">
        <v>196</v>
      </c>
      <c r="N23" s="105" t="s">
        <v>216</v>
      </c>
      <c r="O23" s="105"/>
      <c r="P23" s="105"/>
      <c r="Q23" s="132"/>
      <c r="R23" s="132"/>
      <c r="S23" s="132"/>
      <c r="T23" s="132"/>
      <c r="U23" s="132"/>
      <c r="V23" s="132"/>
      <c r="W23" s="132"/>
      <c r="X23" s="133"/>
      <c r="Y23" s="134"/>
      <c r="Z23" s="95"/>
      <c r="AA23" s="95"/>
      <c r="AB23" s="96"/>
      <c r="AC23" s="394"/>
      <c r="AD23" s="395"/>
      <c r="AE23" s="395"/>
      <c r="AF23" s="396"/>
      <c r="AI23" s="109" t="str">
        <f>"66:field232:" &amp; IF(I23="■",1,IF(M23="■",2,0))</f>
        <v>66:field232:0</v>
      </c>
    </row>
    <row r="24" spans="1:36" ht="18.75" customHeight="1" x14ac:dyDescent="0.15">
      <c r="A24" s="97"/>
      <c r="B24" s="119"/>
      <c r="C24" s="99"/>
      <c r="D24" s="197" t="s">
        <v>196</v>
      </c>
      <c r="E24" s="101" t="s">
        <v>214</v>
      </c>
      <c r="F24" s="102"/>
      <c r="G24" s="103"/>
      <c r="H24" s="199" t="s">
        <v>242</v>
      </c>
      <c r="I24" s="135" t="s">
        <v>196</v>
      </c>
      <c r="J24" s="136" t="s">
        <v>153</v>
      </c>
      <c r="K24" s="137"/>
      <c r="L24" s="139" t="s">
        <v>196</v>
      </c>
      <c r="M24" s="136" t="s">
        <v>161</v>
      </c>
      <c r="N24" s="136"/>
      <c r="O24" s="212"/>
      <c r="P24" s="212"/>
      <c r="Q24" s="212"/>
      <c r="R24" s="212"/>
      <c r="S24" s="212"/>
      <c r="T24" s="212"/>
      <c r="U24" s="212"/>
      <c r="V24" s="212"/>
      <c r="W24" s="212"/>
      <c r="X24" s="178"/>
      <c r="Y24" s="134"/>
      <c r="Z24" s="95"/>
      <c r="AA24" s="95"/>
      <c r="AB24" s="96"/>
      <c r="AC24" s="394"/>
      <c r="AD24" s="395"/>
      <c r="AE24" s="395"/>
      <c r="AF24" s="396"/>
      <c r="AI24" s="109" t="str">
        <f>"66:field157:" &amp; IF(I24="■",1,IF(L24="■",2,0))</f>
        <v>66:field157:0</v>
      </c>
    </row>
    <row r="25" spans="1:36" ht="18.75" customHeight="1" x14ac:dyDescent="0.15">
      <c r="A25" s="196" t="s">
        <v>196</v>
      </c>
      <c r="B25" s="119">
        <v>66</v>
      </c>
      <c r="C25" s="236" t="s">
        <v>243</v>
      </c>
      <c r="D25" s="197" t="s">
        <v>196</v>
      </c>
      <c r="E25" s="101" t="s">
        <v>165</v>
      </c>
      <c r="F25" s="102"/>
      <c r="G25" s="103"/>
      <c r="H25" s="203" t="s">
        <v>244</v>
      </c>
      <c r="I25" s="139" t="s">
        <v>196</v>
      </c>
      <c r="J25" s="136" t="s">
        <v>153</v>
      </c>
      <c r="K25" s="137"/>
      <c r="L25" s="139" t="s">
        <v>196</v>
      </c>
      <c r="M25" s="136" t="s">
        <v>161</v>
      </c>
      <c r="N25" s="136"/>
      <c r="O25" s="212"/>
      <c r="P25" s="212"/>
      <c r="Q25" s="212"/>
      <c r="R25" s="212"/>
      <c r="S25" s="212"/>
      <c r="T25" s="212"/>
      <c r="U25" s="212"/>
      <c r="V25" s="212"/>
      <c r="W25" s="212"/>
      <c r="X25" s="178"/>
      <c r="Y25" s="134"/>
      <c r="Z25" s="95"/>
      <c r="AA25" s="95"/>
      <c r="AB25" s="96"/>
      <c r="AC25" s="394"/>
      <c r="AD25" s="395"/>
      <c r="AE25" s="395"/>
      <c r="AF25" s="396"/>
      <c r="AI25" s="109" t="str">
        <f>"66:jyakuninti_uke_code:" &amp; IF(I25="■",1,IF(L25="■",2,0))</f>
        <v>66:jyakuninti_uke_code:0</v>
      </c>
    </row>
    <row r="26" spans="1:36" ht="18.75" customHeight="1" x14ac:dyDescent="0.15">
      <c r="A26" s="97"/>
      <c r="B26" s="119"/>
      <c r="C26" s="236" t="s">
        <v>241</v>
      </c>
      <c r="D26" s="197" t="s">
        <v>196</v>
      </c>
      <c r="E26" s="101" t="s">
        <v>166</v>
      </c>
      <c r="F26" s="102"/>
      <c r="G26" s="103"/>
      <c r="H26" s="203" t="s">
        <v>143</v>
      </c>
      <c r="I26" s="139" t="s">
        <v>196</v>
      </c>
      <c r="J26" s="136" t="s">
        <v>153</v>
      </c>
      <c r="K26" s="137"/>
      <c r="L26" s="139" t="s">
        <v>196</v>
      </c>
      <c r="M26" s="136" t="s">
        <v>161</v>
      </c>
      <c r="N26" s="136"/>
      <c r="O26" s="212"/>
      <c r="P26" s="212"/>
      <c r="Q26" s="212"/>
      <c r="R26" s="212"/>
      <c r="S26" s="212"/>
      <c r="T26" s="212"/>
      <c r="U26" s="212"/>
      <c r="V26" s="212"/>
      <c r="W26" s="212"/>
      <c r="X26" s="178"/>
      <c r="Y26" s="134"/>
      <c r="Z26" s="95"/>
      <c r="AA26" s="95"/>
      <c r="AB26" s="96"/>
      <c r="AC26" s="394"/>
      <c r="AD26" s="395"/>
      <c r="AE26" s="395"/>
      <c r="AF26" s="396"/>
      <c r="AI26" s="109" t="str">
        <f>"66:eiyomana_code:" &amp; IF(I26="■",1,IF(L26="■",2,0))</f>
        <v>66:eiyomana_code:0</v>
      </c>
    </row>
    <row r="27" spans="1:36" ht="18.75" customHeight="1" x14ac:dyDescent="0.15">
      <c r="A27" s="97"/>
      <c r="B27" s="119"/>
      <c r="C27" s="236"/>
      <c r="D27" s="102"/>
      <c r="E27" s="101"/>
      <c r="F27" s="102"/>
      <c r="G27" s="103"/>
      <c r="H27" s="204" t="s">
        <v>132</v>
      </c>
      <c r="I27" s="139" t="s">
        <v>196</v>
      </c>
      <c r="J27" s="136" t="s">
        <v>153</v>
      </c>
      <c r="K27" s="137"/>
      <c r="L27" s="139" t="s">
        <v>196</v>
      </c>
      <c r="M27" s="136" t="s">
        <v>161</v>
      </c>
      <c r="N27" s="136"/>
      <c r="O27" s="212"/>
      <c r="P27" s="212"/>
      <c r="Q27" s="212"/>
      <c r="R27" s="212"/>
      <c r="S27" s="212"/>
      <c r="T27" s="212"/>
      <c r="U27" s="212"/>
      <c r="V27" s="212"/>
      <c r="W27" s="212"/>
      <c r="X27" s="178"/>
      <c r="Y27" s="134"/>
      <c r="Z27" s="95"/>
      <c r="AA27" s="95"/>
      <c r="AB27" s="96"/>
      <c r="AC27" s="394"/>
      <c r="AD27" s="395"/>
      <c r="AE27" s="395"/>
      <c r="AF27" s="396"/>
      <c r="AI27" s="109" t="str">
        <f>"66:koukoukino_code:" &amp; IF(I27="■",1,IF(L27="■",2,0))</f>
        <v>66:koukoukino_code:0</v>
      </c>
    </row>
    <row r="28" spans="1:36" ht="18.75" customHeight="1" x14ac:dyDescent="0.15">
      <c r="A28" s="97"/>
      <c r="B28" s="119"/>
      <c r="C28" s="236"/>
      <c r="D28" s="102"/>
      <c r="E28" s="101"/>
      <c r="F28" s="102"/>
      <c r="G28" s="103"/>
      <c r="H28" s="182" t="s">
        <v>245</v>
      </c>
      <c r="I28" s="175" t="s">
        <v>196</v>
      </c>
      <c r="J28" s="344" t="s">
        <v>153</v>
      </c>
      <c r="K28" s="344"/>
      <c r="L28" s="189" t="s">
        <v>196</v>
      </c>
      <c r="M28" s="344" t="s">
        <v>161</v>
      </c>
      <c r="N28" s="344"/>
      <c r="O28" s="239"/>
      <c r="P28" s="239"/>
      <c r="Q28" s="239"/>
      <c r="R28" s="239"/>
      <c r="S28" s="239"/>
      <c r="T28" s="239"/>
      <c r="U28" s="239"/>
      <c r="V28" s="239"/>
      <c r="W28" s="239"/>
      <c r="X28" s="240"/>
      <c r="Y28" s="134"/>
      <c r="Z28" s="95"/>
      <c r="AA28" s="95"/>
      <c r="AB28" s="96"/>
      <c r="AC28" s="394"/>
      <c r="AD28" s="395"/>
      <c r="AE28" s="395"/>
      <c r="AF28" s="396"/>
      <c r="AI28" s="109" t="str">
        <f>"66:field174:" &amp; IF(I28="■",1,IF(L28="■",2,0))</f>
        <v>66:field174:0</v>
      </c>
    </row>
    <row r="29" spans="1:36" ht="18.75" customHeight="1" x14ac:dyDescent="0.15">
      <c r="A29" s="97"/>
      <c r="B29" s="119"/>
      <c r="C29" s="236"/>
      <c r="D29" s="102"/>
      <c r="E29" s="101"/>
      <c r="F29" s="102"/>
      <c r="G29" s="103"/>
      <c r="H29" s="204" t="s">
        <v>127</v>
      </c>
      <c r="I29" s="175" t="s">
        <v>196</v>
      </c>
      <c r="J29" s="136" t="s">
        <v>153</v>
      </c>
      <c r="K29" s="137"/>
      <c r="L29" s="139" t="s">
        <v>196</v>
      </c>
      <c r="M29" s="136" t="s">
        <v>161</v>
      </c>
      <c r="N29" s="136"/>
      <c r="O29" s="212"/>
      <c r="P29" s="212"/>
      <c r="Q29" s="212"/>
      <c r="R29" s="212"/>
      <c r="S29" s="212"/>
      <c r="T29" s="212"/>
      <c r="U29" s="212"/>
      <c r="V29" s="212"/>
      <c r="W29" s="212"/>
      <c r="X29" s="178"/>
      <c r="Y29" s="134"/>
      <c r="Z29" s="95"/>
      <c r="AA29" s="95"/>
      <c r="AB29" s="96"/>
      <c r="AC29" s="394"/>
      <c r="AD29" s="395"/>
      <c r="AE29" s="395"/>
      <c r="AF29" s="396"/>
      <c r="AI29" s="109" t="str">
        <f>"66:field212:" &amp; IF(I29="■",1,IF(L29="■",2,0))</f>
        <v>66:field212:0</v>
      </c>
    </row>
    <row r="30" spans="1:36" ht="18.75" customHeight="1" x14ac:dyDescent="0.15">
      <c r="A30" s="97"/>
      <c r="B30" s="119"/>
      <c r="C30" s="236"/>
      <c r="D30" s="102"/>
      <c r="E30" s="101"/>
      <c r="F30" s="102"/>
      <c r="G30" s="103"/>
      <c r="H30" s="203" t="s">
        <v>103</v>
      </c>
      <c r="I30" s="175" t="s">
        <v>196</v>
      </c>
      <c r="J30" s="136" t="s">
        <v>153</v>
      </c>
      <c r="K30" s="136"/>
      <c r="L30" s="139" t="s">
        <v>196</v>
      </c>
      <c r="M30" s="136" t="s">
        <v>174</v>
      </c>
      <c r="N30" s="136"/>
      <c r="O30" s="139" t="s">
        <v>196</v>
      </c>
      <c r="P30" s="136" t="s">
        <v>164</v>
      </c>
      <c r="Q30" s="136"/>
      <c r="R30" s="139" t="s">
        <v>196</v>
      </c>
      <c r="S30" s="136" t="s">
        <v>175</v>
      </c>
      <c r="T30" s="212"/>
      <c r="U30" s="212"/>
      <c r="V30" s="212"/>
      <c r="W30" s="212"/>
      <c r="X30" s="178"/>
      <c r="Y30" s="134"/>
      <c r="Z30" s="95"/>
      <c r="AA30" s="95"/>
      <c r="AB30" s="96"/>
      <c r="AC30" s="394"/>
      <c r="AD30" s="395"/>
      <c r="AE30" s="395"/>
      <c r="AF30" s="396"/>
      <c r="AI30" s="109" t="str">
        <f>"66:serteikyo_kyoka_code:" &amp; IF(I30="■",1,IF(L30="■",5,IF(O30="■",4,IF(R30="■",6,0))))</f>
        <v>66:serteikyo_kyoka_code:0</v>
      </c>
    </row>
    <row r="31" spans="1:36" ht="18.75" customHeight="1" x14ac:dyDescent="0.15">
      <c r="A31" s="156"/>
      <c r="B31" s="119"/>
      <c r="C31" s="158"/>
      <c r="D31" s="159"/>
      <c r="E31" s="160"/>
      <c r="F31" s="161"/>
      <c r="G31" s="162"/>
      <c r="H31" s="85" t="s">
        <v>234</v>
      </c>
      <c r="I31" s="163" t="s">
        <v>196</v>
      </c>
      <c r="J31" s="86" t="s">
        <v>153</v>
      </c>
      <c r="K31" s="86"/>
      <c r="L31" s="164" t="s">
        <v>196</v>
      </c>
      <c r="M31" s="86" t="s">
        <v>218</v>
      </c>
      <c r="N31" s="87"/>
      <c r="O31" s="164" t="s">
        <v>196</v>
      </c>
      <c r="P31" s="89" t="s">
        <v>219</v>
      </c>
      <c r="Q31" s="88"/>
      <c r="R31" s="164" t="s">
        <v>196</v>
      </c>
      <c r="S31" s="86" t="s">
        <v>220</v>
      </c>
      <c r="T31" s="88"/>
      <c r="U31" s="164" t="s">
        <v>196</v>
      </c>
      <c r="V31" s="86" t="s">
        <v>221</v>
      </c>
      <c r="W31" s="90"/>
      <c r="X31" s="91"/>
      <c r="Y31" s="165"/>
      <c r="Z31" s="165"/>
      <c r="AA31" s="165"/>
      <c r="AB31" s="166"/>
      <c r="AC31" s="397"/>
      <c r="AD31" s="398"/>
      <c r="AE31" s="398"/>
      <c r="AF31" s="399"/>
      <c r="AG31" s="109"/>
      <c r="AH31" s="109"/>
      <c r="AI31" s="109" t="str">
        <f>"66:shoguukaizen_code:"&amp;IF(I31="■",1,IF(L31="■",7,IF(O31="■",8,IF(R31="■",9,IF(U31="■","A",0)))))</f>
        <v>66:shoguukaizen_code:0</v>
      </c>
    </row>
    <row r="32" spans="1:36" ht="18.75" customHeight="1" x14ac:dyDescent="0.15">
      <c r="A32" s="122"/>
      <c r="B32" s="123"/>
      <c r="C32" s="124"/>
      <c r="D32" s="125"/>
      <c r="E32" s="117"/>
      <c r="F32" s="126"/>
      <c r="G32" s="117"/>
      <c r="H32" s="201" t="s">
        <v>92</v>
      </c>
      <c r="I32" s="175" t="s">
        <v>196</v>
      </c>
      <c r="J32" s="168" t="s">
        <v>179</v>
      </c>
      <c r="K32" s="169"/>
      <c r="L32" s="170"/>
      <c r="M32" s="171" t="s">
        <v>196</v>
      </c>
      <c r="N32" s="168" t="s">
        <v>180</v>
      </c>
      <c r="O32" s="195"/>
      <c r="P32" s="169"/>
      <c r="Q32" s="169"/>
      <c r="R32" s="169"/>
      <c r="S32" s="169"/>
      <c r="T32" s="169"/>
      <c r="U32" s="169"/>
      <c r="V32" s="169"/>
      <c r="W32" s="169"/>
      <c r="X32" s="223"/>
      <c r="Y32" s="227" t="s">
        <v>196</v>
      </c>
      <c r="Z32" s="115" t="s">
        <v>152</v>
      </c>
      <c r="AA32" s="115"/>
      <c r="AB32" s="128"/>
      <c r="AC32" s="391"/>
      <c r="AD32" s="392"/>
      <c r="AE32" s="392"/>
      <c r="AF32" s="393"/>
      <c r="AG32" s="109" t="str">
        <f>"ser_code = '" &amp; IF(A42="■",25,"") &amp; "'"</f>
        <v>ser_code = ''</v>
      </c>
      <c r="AH32" s="109" t="str">
        <f>"25:jininkbn_code:" &amp; IF(F42="■",1,IF(F43="■",2,0))</f>
        <v>25:jininkbn_code:0</v>
      </c>
      <c r="AI32" s="109" t="str">
        <f>"25:yakan_kinmu_code:" &amp; IF(I32="■",1,IF(M32="■",6,0))</f>
        <v>25:yakan_kinmu_code:0</v>
      </c>
      <c r="AJ32" s="109" t="str">
        <f>"25:field203:" &amp; IF(Y32="■",1,IF(Y33="■",2,0))</f>
        <v>25:field203:0</v>
      </c>
    </row>
    <row r="33" spans="1:36" ht="18.75" customHeight="1" x14ac:dyDescent="0.15">
      <c r="A33" s="97"/>
      <c r="B33" s="119"/>
      <c r="C33" s="99"/>
      <c r="D33" s="100"/>
      <c r="E33" s="101"/>
      <c r="F33" s="102"/>
      <c r="G33" s="101"/>
      <c r="H33" s="349" t="s">
        <v>89</v>
      </c>
      <c r="I33" s="175" t="s">
        <v>196</v>
      </c>
      <c r="J33" s="94" t="s">
        <v>153</v>
      </c>
      <c r="K33" s="94"/>
      <c r="L33" s="190"/>
      <c r="M33" s="197" t="s">
        <v>196</v>
      </c>
      <c r="N33" s="94" t="s">
        <v>168</v>
      </c>
      <c r="O33" s="94"/>
      <c r="P33" s="190"/>
      <c r="Q33" s="197" t="s">
        <v>196</v>
      </c>
      <c r="R33" s="146" t="s">
        <v>169</v>
      </c>
      <c r="U33" s="197" t="s">
        <v>196</v>
      </c>
      <c r="V33" s="146" t="s">
        <v>170</v>
      </c>
      <c r="X33" s="153"/>
      <c r="Y33" s="197" t="s">
        <v>196</v>
      </c>
      <c r="Z33" s="94" t="s">
        <v>156</v>
      </c>
      <c r="AA33" s="95"/>
      <c r="AB33" s="96"/>
      <c r="AC33" s="394"/>
      <c r="AD33" s="395"/>
      <c r="AE33" s="395"/>
      <c r="AF33" s="396"/>
      <c r="AG33" s="109" t="str">
        <f>"25:sisetukbn_code:" &amp; IF(D42="■",1,IF(D43="■",2,0))</f>
        <v>25:sisetukbn_code:0</v>
      </c>
      <c r="AH33" s="109"/>
      <c r="AI33" s="109" t="str">
        <f>"25:"&amp;IF(AND(I33="□",M33="□",Q33="□",U33="□",I34="□",M34="□",Q34="□"),"ketu_doctor_code:0",IF(I33="■","ketu_doctor_code:1:ketu_kangos_code:1:ketu_kshoku_code:1:ketu_rryoho_code:1:ketu_sryoho_code:1:ketu_gengo_code:1",
IF(M33="■","ketu_doctor_code:2","ketu_doctor_code:1")
&amp;IF(Q33="■",":ketu_kangos_code:2",":ketu_kangos_code:1")
&amp;IF(U33="■",":ketu_kshoku_code:2",":ketu_kshoku_code:1")
&amp;IF(I34="■",":ketu_rryoho_code:2",":ketu_rryoho_code:1")
&amp;IF(M34="■",":ketu_sryoho_code:2",":ketu_sryoho_code:1")
&amp;IF(Q34="■",":ketu_gengo_code:2",":ketu_gengo_code:1")))</f>
        <v>25:ketu_doctor_code:0</v>
      </c>
      <c r="AJ33" s="109"/>
    </row>
    <row r="34" spans="1:36" ht="18.75" customHeight="1" x14ac:dyDescent="0.15">
      <c r="A34" s="97"/>
      <c r="B34" s="119"/>
      <c r="C34" s="99"/>
      <c r="D34" s="100"/>
      <c r="E34" s="101"/>
      <c r="F34" s="102"/>
      <c r="G34" s="101"/>
      <c r="H34" s="350"/>
      <c r="I34" s="196" t="s">
        <v>196</v>
      </c>
      <c r="J34" s="105" t="s">
        <v>171</v>
      </c>
      <c r="K34" s="148"/>
      <c r="L34" s="148"/>
      <c r="M34" s="191" t="s">
        <v>196</v>
      </c>
      <c r="N34" s="105" t="s">
        <v>172</v>
      </c>
      <c r="O34" s="148"/>
      <c r="P34" s="148"/>
      <c r="Q34" s="191" t="s">
        <v>196</v>
      </c>
      <c r="R34" s="105" t="s">
        <v>173</v>
      </c>
      <c r="S34" s="148"/>
      <c r="T34" s="148"/>
      <c r="U34" s="148"/>
      <c r="V34" s="148"/>
      <c r="W34" s="148"/>
      <c r="X34" s="229"/>
      <c r="Y34" s="134"/>
      <c r="Z34" s="95"/>
      <c r="AA34" s="95"/>
      <c r="AB34" s="96"/>
      <c r="AC34" s="394"/>
      <c r="AD34" s="395"/>
      <c r="AE34" s="395"/>
      <c r="AF34" s="396"/>
      <c r="AG34" s="109"/>
      <c r="AH34" s="109"/>
      <c r="AI34" s="109"/>
      <c r="AJ34" s="109"/>
    </row>
    <row r="35" spans="1:36" ht="18.75" customHeight="1" x14ac:dyDescent="0.15">
      <c r="A35" s="97"/>
      <c r="B35" s="119"/>
      <c r="C35" s="99"/>
      <c r="D35" s="100"/>
      <c r="E35" s="101"/>
      <c r="F35" s="102"/>
      <c r="G35" s="101"/>
      <c r="H35" s="203" t="s">
        <v>93</v>
      </c>
      <c r="I35" s="175" t="s">
        <v>196</v>
      </c>
      <c r="J35" s="136" t="s">
        <v>159</v>
      </c>
      <c r="K35" s="137"/>
      <c r="L35" s="138"/>
      <c r="M35" s="139" t="s">
        <v>196</v>
      </c>
      <c r="N35" s="136" t="s">
        <v>160</v>
      </c>
      <c r="O35" s="141"/>
      <c r="P35" s="137"/>
      <c r="Q35" s="137"/>
      <c r="R35" s="137"/>
      <c r="S35" s="137"/>
      <c r="T35" s="137"/>
      <c r="U35" s="137"/>
      <c r="V35" s="137"/>
      <c r="W35" s="137"/>
      <c r="X35" s="145"/>
      <c r="Y35" s="134"/>
      <c r="Z35" s="95"/>
      <c r="AA35" s="95"/>
      <c r="AB35" s="96"/>
      <c r="AC35" s="394"/>
      <c r="AD35" s="395"/>
      <c r="AE35" s="395"/>
      <c r="AF35" s="396"/>
      <c r="AI35" s="109" t="str">
        <f>"25:unitcare_code:" &amp; IF(I35="■",1,IF(M35="■",2,0))</f>
        <v>25:unitcare_code:0</v>
      </c>
    </row>
    <row r="36" spans="1:36" s="109" customFormat="1" ht="18.75" customHeight="1" x14ac:dyDescent="0.15">
      <c r="A36" s="97"/>
      <c r="B36" s="119"/>
      <c r="C36" s="210"/>
      <c r="D36" s="211"/>
      <c r="E36" s="101"/>
      <c r="F36" s="102"/>
      <c r="G36" s="103"/>
      <c r="H36" s="203" t="s">
        <v>96</v>
      </c>
      <c r="I36" s="135" t="s">
        <v>196</v>
      </c>
      <c r="J36" s="136" t="s">
        <v>197</v>
      </c>
      <c r="K36" s="137"/>
      <c r="L36" s="138"/>
      <c r="M36" s="139" t="s">
        <v>196</v>
      </c>
      <c r="N36" s="136" t="s">
        <v>198</v>
      </c>
      <c r="O36" s="137"/>
      <c r="P36" s="137"/>
      <c r="Q36" s="137"/>
      <c r="R36" s="137"/>
      <c r="S36" s="137"/>
      <c r="T36" s="137"/>
      <c r="U36" s="137"/>
      <c r="V36" s="137"/>
      <c r="W36" s="137"/>
      <c r="X36" s="145"/>
      <c r="Y36" s="134"/>
      <c r="Z36" s="95"/>
      <c r="AA36" s="95"/>
      <c r="AB36" s="96"/>
      <c r="AC36" s="394"/>
      <c r="AD36" s="395"/>
      <c r="AE36" s="395"/>
      <c r="AF36" s="396"/>
      <c r="AI36" s="109" t="str">
        <f>"25:sintaikousoku_code:" &amp; IF(I36="■",1,IF(M36="■",2,0))</f>
        <v>25:sintaikousoku_code:0</v>
      </c>
    </row>
    <row r="37" spans="1:36" ht="19.5" customHeight="1" x14ac:dyDescent="0.15">
      <c r="A37" s="97"/>
      <c r="B37" s="119"/>
      <c r="C37" s="99"/>
      <c r="D37" s="100"/>
      <c r="E37" s="101"/>
      <c r="F37" s="102"/>
      <c r="G37" s="103"/>
      <c r="H37" s="104" t="s">
        <v>215</v>
      </c>
      <c r="I37" s="175" t="s">
        <v>196</v>
      </c>
      <c r="J37" s="136" t="s">
        <v>197</v>
      </c>
      <c r="K37" s="137"/>
      <c r="L37" s="138"/>
      <c r="M37" s="139" t="s">
        <v>196</v>
      </c>
      <c r="N37" s="136" t="s">
        <v>216</v>
      </c>
      <c r="O37" s="136"/>
      <c r="P37" s="136"/>
      <c r="Q37" s="141"/>
      <c r="R37" s="141"/>
      <c r="S37" s="141"/>
      <c r="T37" s="141"/>
      <c r="U37" s="141"/>
      <c r="V37" s="141"/>
      <c r="W37" s="141"/>
      <c r="X37" s="142"/>
      <c r="Y37" s="95"/>
      <c r="Z37" s="95"/>
      <c r="AA37" s="95"/>
      <c r="AB37" s="96"/>
      <c r="AC37" s="394"/>
      <c r="AD37" s="395"/>
      <c r="AE37" s="395"/>
      <c r="AF37" s="396"/>
      <c r="AI37" s="109" t="str">
        <f>"25:field223:" &amp; IF(I37="■",1,IF(M37="■",2,0))</f>
        <v>25:field223:0</v>
      </c>
    </row>
    <row r="38" spans="1:36" ht="19.5" customHeight="1" x14ac:dyDescent="0.15">
      <c r="A38" s="97"/>
      <c r="B38" s="119"/>
      <c r="C38" s="99"/>
      <c r="D38" s="100"/>
      <c r="E38" s="101"/>
      <c r="F38" s="102"/>
      <c r="G38" s="103"/>
      <c r="H38" s="104" t="s">
        <v>226</v>
      </c>
      <c r="I38" s="175" t="s">
        <v>196</v>
      </c>
      <c r="J38" s="105" t="s">
        <v>197</v>
      </c>
      <c r="K38" s="154"/>
      <c r="L38" s="106"/>
      <c r="M38" s="191" t="s">
        <v>196</v>
      </c>
      <c r="N38" s="105" t="s">
        <v>216</v>
      </c>
      <c r="O38" s="105"/>
      <c r="P38" s="105"/>
      <c r="Q38" s="132"/>
      <c r="R38" s="132"/>
      <c r="S38" s="132"/>
      <c r="T38" s="132"/>
      <c r="U38" s="132"/>
      <c r="V38" s="132"/>
      <c r="W38" s="132"/>
      <c r="X38" s="133"/>
      <c r="Y38" s="95"/>
      <c r="Z38" s="94"/>
      <c r="AA38" s="95"/>
      <c r="AB38" s="96"/>
      <c r="AC38" s="394"/>
      <c r="AD38" s="395"/>
      <c r="AE38" s="395"/>
      <c r="AF38" s="396"/>
      <c r="AI38" s="109" t="str">
        <f>"25:field232:" &amp; IF(I38="■",1,IF(M38="■",2,0))</f>
        <v>25:field232:0</v>
      </c>
    </row>
    <row r="39" spans="1:36" ht="19.5" customHeight="1" x14ac:dyDescent="0.15">
      <c r="A39" s="97"/>
      <c r="B39" s="119"/>
      <c r="C39" s="99"/>
      <c r="D39" s="100"/>
      <c r="E39" s="101"/>
      <c r="F39" s="102"/>
      <c r="G39" s="103"/>
      <c r="H39" s="104" t="s">
        <v>251</v>
      </c>
      <c r="I39" s="135" t="s">
        <v>196</v>
      </c>
      <c r="J39" s="105" t="s">
        <v>249</v>
      </c>
      <c r="K39" s="154"/>
      <c r="L39" s="106"/>
      <c r="M39" s="139" t="s">
        <v>196</v>
      </c>
      <c r="N39" s="105" t="s">
        <v>250</v>
      </c>
      <c r="O39" s="208"/>
      <c r="P39" s="105"/>
      <c r="Q39" s="132"/>
      <c r="R39" s="132"/>
      <c r="S39" s="132"/>
      <c r="T39" s="132"/>
      <c r="U39" s="132"/>
      <c r="V39" s="132"/>
      <c r="W39" s="132"/>
      <c r="X39" s="133"/>
      <c r="Y39" s="150"/>
      <c r="Z39" s="94"/>
      <c r="AA39" s="95"/>
      <c r="AB39" s="96"/>
      <c r="AC39" s="394"/>
      <c r="AD39" s="395"/>
      <c r="AE39" s="395"/>
      <c r="AF39" s="396"/>
      <c r="AI39" s="109" t="str">
        <f>"25:field242:" &amp; IF(I39="■",1,IF(M39="■",2,0))</f>
        <v>25:field242:0</v>
      </c>
    </row>
    <row r="40" spans="1:36" ht="18.75" customHeight="1" x14ac:dyDescent="0.15">
      <c r="A40" s="97"/>
      <c r="B40" s="119"/>
      <c r="C40" s="99"/>
      <c r="D40" s="100"/>
      <c r="E40" s="101"/>
      <c r="F40" s="102"/>
      <c r="G40" s="101"/>
      <c r="H40" s="203" t="s">
        <v>98</v>
      </c>
      <c r="I40" s="175" t="s">
        <v>196</v>
      </c>
      <c r="J40" s="136" t="s">
        <v>153</v>
      </c>
      <c r="K40" s="137"/>
      <c r="L40" s="139" t="s">
        <v>196</v>
      </c>
      <c r="M40" s="136" t="s">
        <v>161</v>
      </c>
      <c r="N40" s="212"/>
      <c r="O40" s="137"/>
      <c r="P40" s="137"/>
      <c r="Q40" s="137"/>
      <c r="R40" s="137"/>
      <c r="S40" s="137"/>
      <c r="T40" s="137"/>
      <c r="U40" s="137"/>
      <c r="V40" s="137"/>
      <c r="W40" s="137"/>
      <c r="X40" s="145"/>
      <c r="Y40" s="134"/>
      <c r="Z40" s="95"/>
      <c r="AA40" s="95"/>
      <c r="AB40" s="96"/>
      <c r="AC40" s="394"/>
      <c r="AD40" s="395"/>
      <c r="AE40" s="395"/>
      <c r="AF40" s="396"/>
      <c r="AI40" s="109" t="str">
        <f>"25:yakinhaiti_code:" &amp; IF(I40="■",1,IF(L40="■",2,0))</f>
        <v>25:yakinhaiti_code:0</v>
      </c>
    </row>
    <row r="41" spans="1:36" ht="18.75" customHeight="1" x14ac:dyDescent="0.15">
      <c r="A41" s="97"/>
      <c r="B41" s="119"/>
      <c r="C41" s="99"/>
      <c r="D41" s="100"/>
      <c r="E41" s="101"/>
      <c r="F41" s="102"/>
      <c r="G41" s="101"/>
      <c r="H41" s="203" t="s">
        <v>244</v>
      </c>
      <c r="I41" s="175" t="s">
        <v>196</v>
      </c>
      <c r="J41" s="136" t="s">
        <v>153</v>
      </c>
      <c r="K41" s="137"/>
      <c r="L41" s="139" t="s">
        <v>196</v>
      </c>
      <c r="M41" s="136" t="s">
        <v>161</v>
      </c>
      <c r="N41" s="212"/>
      <c r="O41" s="137"/>
      <c r="P41" s="137"/>
      <c r="Q41" s="137"/>
      <c r="R41" s="137"/>
      <c r="S41" s="137"/>
      <c r="T41" s="137"/>
      <c r="U41" s="137"/>
      <c r="V41" s="137"/>
      <c r="W41" s="137"/>
      <c r="X41" s="145"/>
      <c r="Y41" s="134"/>
      <c r="Z41" s="95"/>
      <c r="AA41" s="95"/>
      <c r="AB41" s="96"/>
      <c r="AC41" s="394"/>
      <c r="AD41" s="395"/>
      <c r="AE41" s="395"/>
      <c r="AF41" s="396"/>
      <c r="AI41" s="109" t="str">
        <f>"25:jyakuninti_uke_code:" &amp; IF(I41="■",1,IF(L41="■",2,0))</f>
        <v>25:jyakuninti_uke_code:0</v>
      </c>
    </row>
    <row r="42" spans="1:36" ht="18.75" customHeight="1" x14ac:dyDescent="0.15">
      <c r="A42" s="196" t="s">
        <v>196</v>
      </c>
      <c r="B42" s="119">
        <v>25</v>
      </c>
      <c r="C42" s="99" t="s">
        <v>246</v>
      </c>
      <c r="D42" s="196" t="s">
        <v>196</v>
      </c>
      <c r="E42" s="101" t="s">
        <v>256</v>
      </c>
      <c r="F42" s="196" t="s">
        <v>196</v>
      </c>
      <c r="G42" s="101" t="s">
        <v>181</v>
      </c>
      <c r="H42" s="203" t="s">
        <v>136</v>
      </c>
      <c r="I42" s="175" t="s">
        <v>196</v>
      </c>
      <c r="J42" s="136" t="s">
        <v>153</v>
      </c>
      <c r="K42" s="136"/>
      <c r="L42" s="191" t="s">
        <v>196</v>
      </c>
      <c r="M42" s="136" t="s">
        <v>154</v>
      </c>
      <c r="N42" s="136"/>
      <c r="O42" s="139" t="s">
        <v>196</v>
      </c>
      <c r="P42" s="136" t="s">
        <v>155</v>
      </c>
      <c r="Q42" s="141"/>
      <c r="R42" s="136"/>
      <c r="S42" s="136"/>
      <c r="T42" s="136"/>
      <c r="U42" s="136"/>
      <c r="V42" s="136"/>
      <c r="W42" s="136"/>
      <c r="X42" s="144"/>
      <c r="Y42" s="134"/>
      <c r="Z42" s="95"/>
      <c r="AA42" s="95"/>
      <c r="AB42" s="96"/>
      <c r="AC42" s="394"/>
      <c r="AD42" s="395"/>
      <c r="AE42" s="395"/>
      <c r="AF42" s="396"/>
      <c r="AI42" s="109" t="str">
        <f>"25:zaitaku_hukki_code:" &amp; IF(I42="■",1,IF(L42="■",2,IF(O42="■",3,0)))</f>
        <v>25:zaitaku_hukki_code:0</v>
      </c>
    </row>
    <row r="43" spans="1:36" ht="18.75" customHeight="1" x14ac:dyDescent="0.15">
      <c r="A43" s="97"/>
      <c r="B43" s="119"/>
      <c r="C43" s="99"/>
      <c r="D43" s="100"/>
      <c r="E43" s="101"/>
      <c r="F43" s="196" t="s">
        <v>196</v>
      </c>
      <c r="G43" s="101" t="s">
        <v>182</v>
      </c>
      <c r="H43" s="203" t="s">
        <v>90</v>
      </c>
      <c r="I43" s="175" t="s">
        <v>196</v>
      </c>
      <c r="J43" s="136" t="s">
        <v>159</v>
      </c>
      <c r="K43" s="137"/>
      <c r="L43" s="138"/>
      <c r="M43" s="139" t="s">
        <v>196</v>
      </c>
      <c r="N43" s="136" t="s">
        <v>160</v>
      </c>
      <c r="O43" s="141"/>
      <c r="P43" s="137"/>
      <c r="Q43" s="137"/>
      <c r="R43" s="137"/>
      <c r="S43" s="137"/>
      <c r="T43" s="137"/>
      <c r="U43" s="137"/>
      <c r="V43" s="137"/>
      <c r="W43" s="137"/>
      <c r="X43" s="145"/>
      <c r="Y43" s="134"/>
      <c r="Z43" s="95"/>
      <c r="AA43" s="95"/>
      <c r="AB43" s="96"/>
      <c r="AC43" s="394"/>
      <c r="AD43" s="395"/>
      <c r="AE43" s="395"/>
      <c r="AF43" s="396"/>
      <c r="AI43" s="109" t="str">
        <f>"25:sougei_code:" &amp; IF(I43="■",1,IF(M43="■",2,0))</f>
        <v>25:sougei_code:0</v>
      </c>
    </row>
    <row r="44" spans="1:36" ht="19.5" customHeight="1" x14ac:dyDescent="0.15">
      <c r="A44" s="97"/>
      <c r="B44" s="119"/>
      <c r="C44" s="99"/>
      <c r="D44" s="100"/>
      <c r="E44" s="101"/>
      <c r="F44" s="102"/>
      <c r="G44" s="101"/>
      <c r="H44" s="104" t="s">
        <v>217</v>
      </c>
      <c r="I44" s="175" t="s">
        <v>196</v>
      </c>
      <c r="J44" s="136" t="s">
        <v>153</v>
      </c>
      <c r="K44" s="136"/>
      <c r="L44" s="139" t="s">
        <v>196</v>
      </c>
      <c r="M44" s="136" t="s">
        <v>161</v>
      </c>
      <c r="N44" s="136"/>
      <c r="O44" s="141"/>
      <c r="P44" s="136"/>
      <c r="Q44" s="141"/>
      <c r="R44" s="141"/>
      <c r="S44" s="141"/>
      <c r="T44" s="141"/>
      <c r="U44" s="141"/>
      <c r="V44" s="141"/>
      <c r="W44" s="141"/>
      <c r="X44" s="142"/>
      <c r="Y44" s="95"/>
      <c r="Z44" s="95"/>
      <c r="AA44" s="95"/>
      <c r="AB44" s="96"/>
      <c r="AC44" s="394"/>
      <c r="AD44" s="395"/>
      <c r="AE44" s="395"/>
      <c r="AF44" s="396"/>
      <c r="AI44" s="109" t="str">
        <f>"25:field224:" &amp; IF(I44="■",1,IF(L44="■",2,0))</f>
        <v>25:field224:0</v>
      </c>
    </row>
    <row r="45" spans="1:36" ht="18.75" customHeight="1" x14ac:dyDescent="0.15">
      <c r="A45" s="97"/>
      <c r="B45" s="119"/>
      <c r="C45" s="99"/>
      <c r="D45" s="100"/>
      <c r="E45" s="101"/>
      <c r="F45" s="102"/>
      <c r="G45" s="101"/>
      <c r="H45" s="203" t="s">
        <v>99</v>
      </c>
      <c r="I45" s="175" t="s">
        <v>196</v>
      </c>
      <c r="J45" s="136" t="s">
        <v>153</v>
      </c>
      <c r="K45" s="137"/>
      <c r="L45" s="139" t="s">
        <v>196</v>
      </c>
      <c r="M45" s="136" t="s">
        <v>161</v>
      </c>
      <c r="N45" s="212"/>
      <c r="O45" s="137"/>
      <c r="P45" s="137"/>
      <c r="Q45" s="137"/>
      <c r="R45" s="137"/>
      <c r="S45" s="137"/>
      <c r="T45" s="137"/>
      <c r="U45" s="137"/>
      <c r="V45" s="137"/>
      <c r="W45" s="137"/>
      <c r="X45" s="145"/>
      <c r="Y45" s="134"/>
      <c r="Z45" s="95"/>
      <c r="AA45" s="95"/>
      <c r="AB45" s="96"/>
      <c r="AC45" s="394"/>
      <c r="AD45" s="395"/>
      <c r="AE45" s="395"/>
      <c r="AF45" s="396"/>
      <c r="AI45" s="109" t="str">
        <f>"25:ryouyoushoku_code:" &amp; IF(I45="■",1,IF(L45="■",2,0))</f>
        <v>25:ryouyoushoku_code:0</v>
      </c>
    </row>
    <row r="46" spans="1:36" ht="18.75" customHeight="1" x14ac:dyDescent="0.15">
      <c r="A46" s="97"/>
      <c r="B46" s="119"/>
      <c r="C46" s="99"/>
      <c r="D46" s="100"/>
      <c r="E46" s="101"/>
      <c r="F46" s="102"/>
      <c r="G46" s="101"/>
      <c r="H46" s="203" t="s">
        <v>122</v>
      </c>
      <c r="I46" s="175" t="s">
        <v>196</v>
      </c>
      <c r="J46" s="136" t="s">
        <v>153</v>
      </c>
      <c r="K46" s="136"/>
      <c r="L46" s="139" t="s">
        <v>196</v>
      </c>
      <c r="M46" s="136" t="s">
        <v>154</v>
      </c>
      <c r="N46" s="136"/>
      <c r="O46" s="139" t="s">
        <v>196</v>
      </c>
      <c r="P46" s="136" t="s">
        <v>155</v>
      </c>
      <c r="Q46" s="141"/>
      <c r="R46" s="137"/>
      <c r="S46" s="137"/>
      <c r="T46" s="137"/>
      <c r="U46" s="137"/>
      <c r="V46" s="137"/>
      <c r="W46" s="137"/>
      <c r="X46" s="145"/>
      <c r="Y46" s="134"/>
      <c r="Z46" s="95"/>
      <c r="AA46" s="95"/>
      <c r="AB46" s="96"/>
      <c r="AC46" s="394"/>
      <c r="AD46" s="395"/>
      <c r="AE46" s="395"/>
      <c r="AF46" s="396"/>
      <c r="AI46" s="109" t="str">
        <f>"25:ninti_senmoncare_code:" &amp; IF(I46="■",1,IF(O46="■",3,IF(L46="■",2,0)))</f>
        <v>25:ninti_senmoncare_code:0</v>
      </c>
    </row>
    <row r="47" spans="1:36" ht="18.75" customHeight="1" x14ac:dyDescent="0.15">
      <c r="A47" s="97"/>
      <c r="B47" s="119"/>
      <c r="C47" s="99"/>
      <c r="D47" s="100"/>
      <c r="E47" s="101"/>
      <c r="F47" s="102"/>
      <c r="G47" s="101"/>
      <c r="H47" s="213" t="s">
        <v>224</v>
      </c>
      <c r="I47" s="175" t="s">
        <v>196</v>
      </c>
      <c r="J47" s="136" t="s">
        <v>153</v>
      </c>
      <c r="K47" s="136"/>
      <c r="L47" s="139" t="s">
        <v>196</v>
      </c>
      <c r="M47" s="136" t="s">
        <v>154</v>
      </c>
      <c r="N47" s="136"/>
      <c r="O47" s="139" t="s">
        <v>196</v>
      </c>
      <c r="P47" s="136" t="s">
        <v>155</v>
      </c>
      <c r="Q47" s="141"/>
      <c r="R47" s="141"/>
      <c r="S47" s="141"/>
      <c r="T47" s="141"/>
      <c r="U47" s="214"/>
      <c r="V47" s="214"/>
      <c r="W47" s="214"/>
      <c r="X47" s="215"/>
      <c r="Y47" s="134"/>
      <c r="Z47" s="95"/>
      <c r="AA47" s="95"/>
      <c r="AB47" s="96"/>
      <c r="AC47" s="394"/>
      <c r="AD47" s="395"/>
      <c r="AE47" s="395"/>
      <c r="AF47" s="396"/>
      <c r="AI47" s="109" t="str">
        <f>"25:field225:" &amp; IF(I47="■",1,IF(L47="■",2,IF(O47="■",3,0)))</f>
        <v>25:field225:0</v>
      </c>
    </row>
    <row r="48" spans="1:36" ht="18.75" customHeight="1" x14ac:dyDescent="0.15">
      <c r="A48" s="97"/>
      <c r="B48" s="119"/>
      <c r="C48" s="99"/>
      <c r="D48" s="100"/>
      <c r="E48" s="101"/>
      <c r="F48" s="102"/>
      <c r="G48" s="101"/>
      <c r="H48" s="199" t="s">
        <v>103</v>
      </c>
      <c r="I48" s="175" t="s">
        <v>196</v>
      </c>
      <c r="J48" s="136" t="s">
        <v>153</v>
      </c>
      <c r="K48" s="136"/>
      <c r="L48" s="139" t="s">
        <v>196</v>
      </c>
      <c r="M48" s="136" t="s">
        <v>157</v>
      </c>
      <c r="N48" s="136"/>
      <c r="O48" s="139" t="s">
        <v>196</v>
      </c>
      <c r="P48" s="136" t="s">
        <v>158</v>
      </c>
      <c r="Q48" s="212"/>
      <c r="R48" s="139" t="s">
        <v>196</v>
      </c>
      <c r="S48" s="136" t="s">
        <v>167</v>
      </c>
      <c r="T48" s="136"/>
      <c r="U48" s="136"/>
      <c r="V48" s="136"/>
      <c r="W48" s="136"/>
      <c r="X48" s="144"/>
      <c r="Y48" s="134"/>
      <c r="Z48" s="95"/>
      <c r="AA48" s="95"/>
      <c r="AB48" s="96"/>
      <c r="AC48" s="394"/>
      <c r="AD48" s="395"/>
      <c r="AE48" s="395"/>
      <c r="AF48" s="396"/>
      <c r="AI48" s="109" t="str">
        <f>"25:serteikyo_kyoka_code:" &amp; IF(I48="■",1,IF(L48="■",6,IF(O48="■",5,IF(R48="■",7,0))))</f>
        <v>25:serteikyo_kyoka_code:0</v>
      </c>
    </row>
    <row r="49" spans="1:36" ht="18.75" customHeight="1" x14ac:dyDescent="0.15">
      <c r="A49" s="97"/>
      <c r="B49" s="119"/>
      <c r="C49" s="99"/>
      <c r="D49" s="100"/>
      <c r="E49" s="101"/>
      <c r="F49" s="102"/>
      <c r="G49" s="101"/>
      <c r="H49" s="351" t="s">
        <v>238</v>
      </c>
      <c r="I49" s="390" t="s">
        <v>196</v>
      </c>
      <c r="J49" s="389" t="s">
        <v>153</v>
      </c>
      <c r="K49" s="389"/>
      <c r="L49" s="390" t="s">
        <v>196</v>
      </c>
      <c r="M49" s="389" t="s">
        <v>161</v>
      </c>
      <c r="N49" s="389"/>
      <c r="O49" s="147"/>
      <c r="P49" s="147"/>
      <c r="Q49" s="147"/>
      <c r="R49" s="147"/>
      <c r="S49" s="147"/>
      <c r="T49" s="147"/>
      <c r="U49" s="147"/>
      <c r="V49" s="147"/>
      <c r="W49" s="147"/>
      <c r="X49" s="151"/>
      <c r="Y49" s="134"/>
      <c r="Z49" s="95"/>
      <c r="AA49" s="95"/>
      <c r="AB49" s="96"/>
      <c r="AC49" s="394"/>
      <c r="AD49" s="395"/>
      <c r="AE49" s="395"/>
      <c r="AF49" s="396"/>
      <c r="AI49" s="109" t="str">
        <f>"25:field221:" &amp; IF(I49="■",1,IF(L49="■",2,0))</f>
        <v>25:field221:0</v>
      </c>
    </row>
    <row r="50" spans="1:36" ht="18.75" customHeight="1" x14ac:dyDescent="0.15">
      <c r="A50" s="97"/>
      <c r="B50" s="119"/>
      <c r="C50" s="99"/>
      <c r="D50" s="100"/>
      <c r="E50" s="101"/>
      <c r="F50" s="102"/>
      <c r="G50" s="101"/>
      <c r="H50" s="352"/>
      <c r="I50" s="390"/>
      <c r="J50" s="389"/>
      <c r="K50" s="389"/>
      <c r="L50" s="390"/>
      <c r="M50" s="389"/>
      <c r="N50" s="389"/>
      <c r="O50" s="105"/>
      <c r="P50" s="105"/>
      <c r="Q50" s="105"/>
      <c r="R50" s="105"/>
      <c r="S50" s="105"/>
      <c r="T50" s="105"/>
      <c r="U50" s="105"/>
      <c r="V50" s="105"/>
      <c r="W50" s="105"/>
      <c r="X50" s="149"/>
      <c r="Y50" s="134"/>
      <c r="Z50" s="95"/>
      <c r="AA50" s="95"/>
      <c r="AB50" s="96"/>
      <c r="AC50" s="394"/>
      <c r="AD50" s="395"/>
      <c r="AE50" s="395"/>
      <c r="AF50" s="396"/>
    </row>
    <row r="51" spans="1:36" ht="18.75" customHeight="1" x14ac:dyDescent="0.15">
      <c r="A51" s="156"/>
      <c r="B51" s="119"/>
      <c r="C51" s="158"/>
      <c r="D51" s="159"/>
      <c r="E51" s="160"/>
      <c r="F51" s="161"/>
      <c r="G51" s="162"/>
      <c r="H51" s="85" t="s">
        <v>234</v>
      </c>
      <c r="I51" s="163" t="s">
        <v>196</v>
      </c>
      <c r="J51" s="86" t="s">
        <v>153</v>
      </c>
      <c r="K51" s="86"/>
      <c r="L51" s="164" t="s">
        <v>196</v>
      </c>
      <c r="M51" s="86" t="s">
        <v>218</v>
      </c>
      <c r="N51" s="87"/>
      <c r="O51" s="164" t="s">
        <v>196</v>
      </c>
      <c r="P51" s="89" t="s">
        <v>219</v>
      </c>
      <c r="Q51" s="88"/>
      <c r="R51" s="164" t="s">
        <v>196</v>
      </c>
      <c r="S51" s="86" t="s">
        <v>220</v>
      </c>
      <c r="T51" s="88"/>
      <c r="U51" s="164" t="s">
        <v>196</v>
      </c>
      <c r="V51" s="86" t="s">
        <v>221</v>
      </c>
      <c r="W51" s="90"/>
      <c r="X51" s="91"/>
      <c r="Y51" s="165"/>
      <c r="Z51" s="165"/>
      <c r="AA51" s="165"/>
      <c r="AB51" s="166"/>
      <c r="AC51" s="397"/>
      <c r="AD51" s="398"/>
      <c r="AE51" s="398"/>
      <c r="AF51" s="399"/>
      <c r="AG51" s="109"/>
      <c r="AH51" s="109"/>
      <c r="AI51" s="109" t="str">
        <f>"25:shoguukaizen_code:"&amp;IF(I51="■",1,IF(L51="■",7,IF(O51="■",8,IF(R51="■",9,IF(U51="■","A",0)))))</f>
        <v>25:shoguukaizen_code:0</v>
      </c>
    </row>
    <row r="52" spans="1:36" ht="18.75" customHeight="1" x14ac:dyDescent="0.15">
      <c r="A52" s="122"/>
      <c r="B52" s="123"/>
      <c r="C52" s="124"/>
      <c r="D52" s="125"/>
      <c r="E52" s="117"/>
      <c r="F52" s="126"/>
      <c r="G52" s="117"/>
      <c r="H52" s="201" t="s">
        <v>92</v>
      </c>
      <c r="I52" s="225" t="s">
        <v>196</v>
      </c>
      <c r="J52" s="168" t="s">
        <v>179</v>
      </c>
      <c r="K52" s="169"/>
      <c r="L52" s="170"/>
      <c r="M52" s="171" t="s">
        <v>196</v>
      </c>
      <c r="N52" s="168" t="s">
        <v>180</v>
      </c>
      <c r="O52" s="195"/>
      <c r="P52" s="169"/>
      <c r="Q52" s="169"/>
      <c r="R52" s="169"/>
      <c r="S52" s="169"/>
      <c r="T52" s="169"/>
      <c r="U52" s="169"/>
      <c r="V52" s="169"/>
      <c r="W52" s="169"/>
      <c r="X52" s="223"/>
      <c r="Y52" s="227" t="s">
        <v>196</v>
      </c>
      <c r="Z52" s="115" t="s">
        <v>152</v>
      </c>
      <c r="AA52" s="115"/>
      <c r="AB52" s="128"/>
      <c r="AC52" s="391"/>
      <c r="AD52" s="392"/>
      <c r="AE52" s="392"/>
      <c r="AF52" s="393"/>
      <c r="AG52" s="109" t="str">
        <f>"ser_code = '" &amp; IF(A61="■",25,"") &amp; "'"</f>
        <v>ser_code = ''</v>
      </c>
      <c r="AH52" s="109" t="str">
        <f>"25:jininkbn_code:" &amp; IF(F61="■",1,IF(F62="■",2,0))</f>
        <v>25:jininkbn_code:0</v>
      </c>
      <c r="AI52" s="109" t="str">
        <f>"25:yakan_kinmu_code:" &amp; IF(I52="■",1,IF(M52="■",6,0))</f>
        <v>25:yakan_kinmu_code:0</v>
      </c>
      <c r="AJ52" s="109" t="str">
        <f>"25:field203:" &amp; IF(Y52="■",1,IF(Y53="■",2,0))</f>
        <v>25:field203:0</v>
      </c>
    </row>
    <row r="53" spans="1:36" ht="18.75" customHeight="1" x14ac:dyDescent="0.15">
      <c r="A53" s="97"/>
      <c r="B53" s="119"/>
      <c r="C53" s="99"/>
      <c r="D53" s="100"/>
      <c r="E53" s="101"/>
      <c r="F53" s="102"/>
      <c r="G53" s="101"/>
      <c r="H53" s="349" t="s">
        <v>89</v>
      </c>
      <c r="I53" s="175" t="s">
        <v>196</v>
      </c>
      <c r="J53" s="94" t="s">
        <v>153</v>
      </c>
      <c r="K53" s="94"/>
      <c r="L53" s="190"/>
      <c r="M53" s="197" t="s">
        <v>196</v>
      </c>
      <c r="N53" s="94" t="s">
        <v>168</v>
      </c>
      <c r="O53" s="94"/>
      <c r="P53" s="190"/>
      <c r="Q53" s="197" t="s">
        <v>196</v>
      </c>
      <c r="R53" s="146" t="s">
        <v>169</v>
      </c>
      <c r="U53" s="197" t="s">
        <v>196</v>
      </c>
      <c r="V53" s="146" t="s">
        <v>170</v>
      </c>
      <c r="X53" s="153"/>
      <c r="Y53" s="197" t="s">
        <v>196</v>
      </c>
      <c r="Z53" s="94" t="s">
        <v>156</v>
      </c>
      <c r="AA53" s="95"/>
      <c r="AB53" s="96"/>
      <c r="AC53" s="394"/>
      <c r="AD53" s="395"/>
      <c r="AE53" s="395"/>
      <c r="AF53" s="396"/>
      <c r="AG53" s="109" t="str">
        <f>"25:sisetukbn_code:"&amp;IF(D61="■",2,0)</f>
        <v>25:sisetukbn_code:0</v>
      </c>
      <c r="AH53" s="109"/>
      <c r="AI53" s="109" t="str">
        <f>"25:"&amp;IF(AND(I53="□",M53="□",Q53="□",U53="□",I54="□",M54="□",Q54="□"),"ketu_doctor_code:0",IF(I53="■","ketu_doctor_code:1:ketu_kangos_code:1:ketu_kshoku_code:1:ketu_rryoho_code:1:ketu_sryoho_code:1:ketu_gengo_code:1",
IF(M53="■","ketu_doctor_code:2","ketu_doctor_code:1")
&amp;IF(Q53="■",":ketu_kangos_code:2",":ketu_kangos_code:1")
&amp;IF(U53="■",":ketu_kshoku_code:2",":ketu_kshoku_code:1")
&amp;IF(I54="■",":ketu_rryoho_code:2",":ketu_rryoho_code:1")
&amp;IF(M54="■",":ketu_sryoho_code:2",":ketu_sryoho_code:1")
&amp;IF(Q54="■",":ketu_gengo_code:2",":ketu_gengo_code:1")))</f>
        <v>25:ketu_doctor_code:0</v>
      </c>
      <c r="AJ53" s="109"/>
    </row>
    <row r="54" spans="1:36" ht="18.75" customHeight="1" x14ac:dyDescent="0.15">
      <c r="A54" s="97"/>
      <c r="B54" s="119"/>
      <c r="C54" s="99"/>
      <c r="D54" s="100"/>
      <c r="E54" s="101"/>
      <c r="F54" s="102"/>
      <c r="G54" s="101"/>
      <c r="H54" s="350"/>
      <c r="I54" s="196" t="s">
        <v>196</v>
      </c>
      <c r="J54" s="105" t="s">
        <v>171</v>
      </c>
      <c r="K54" s="148"/>
      <c r="L54" s="148"/>
      <c r="M54" s="191" t="s">
        <v>196</v>
      </c>
      <c r="N54" s="105" t="s">
        <v>172</v>
      </c>
      <c r="O54" s="148"/>
      <c r="P54" s="148"/>
      <c r="Q54" s="191" t="s">
        <v>196</v>
      </c>
      <c r="R54" s="105" t="s">
        <v>173</v>
      </c>
      <c r="S54" s="148"/>
      <c r="T54" s="148"/>
      <c r="U54" s="148"/>
      <c r="V54" s="148"/>
      <c r="W54" s="148"/>
      <c r="X54" s="229"/>
      <c r="Y54" s="134"/>
      <c r="Z54" s="95"/>
      <c r="AA54" s="95"/>
      <c r="AB54" s="96"/>
      <c r="AC54" s="394"/>
      <c r="AD54" s="395"/>
      <c r="AE54" s="395"/>
      <c r="AF54" s="396"/>
      <c r="AG54" s="109"/>
      <c r="AH54" s="109"/>
      <c r="AI54" s="109"/>
      <c r="AJ54" s="109"/>
    </row>
    <row r="55" spans="1:36" ht="18.75" customHeight="1" x14ac:dyDescent="0.15">
      <c r="A55" s="97"/>
      <c r="B55" s="119"/>
      <c r="C55" s="99"/>
      <c r="D55" s="100"/>
      <c r="E55" s="101"/>
      <c r="F55" s="102"/>
      <c r="G55" s="101"/>
      <c r="H55" s="203" t="s">
        <v>93</v>
      </c>
      <c r="I55" s="175" t="s">
        <v>196</v>
      </c>
      <c r="J55" s="136" t="s">
        <v>159</v>
      </c>
      <c r="K55" s="137"/>
      <c r="L55" s="138"/>
      <c r="M55" s="139" t="s">
        <v>196</v>
      </c>
      <c r="N55" s="136" t="s">
        <v>160</v>
      </c>
      <c r="O55" s="141"/>
      <c r="P55" s="137"/>
      <c r="Q55" s="137"/>
      <c r="R55" s="137"/>
      <c r="S55" s="137"/>
      <c r="T55" s="137"/>
      <c r="U55" s="137"/>
      <c r="V55" s="137"/>
      <c r="W55" s="137"/>
      <c r="X55" s="145"/>
      <c r="Y55" s="134"/>
      <c r="Z55" s="95"/>
      <c r="AA55" s="95"/>
      <c r="AB55" s="96"/>
      <c r="AC55" s="394"/>
      <c r="AD55" s="395"/>
      <c r="AE55" s="395"/>
      <c r="AF55" s="396"/>
      <c r="AI55" s="109" t="str">
        <f>"25:unitcare_code:" &amp; IF(I55="■",1,IF(M55="■",2,0))</f>
        <v>25:unitcare_code:0</v>
      </c>
    </row>
    <row r="56" spans="1:36" s="109" customFormat="1" ht="18.75" customHeight="1" x14ac:dyDescent="0.15">
      <c r="A56" s="97"/>
      <c r="B56" s="119"/>
      <c r="C56" s="210"/>
      <c r="D56" s="211"/>
      <c r="E56" s="101"/>
      <c r="F56" s="102"/>
      <c r="G56" s="103"/>
      <c r="H56" s="203" t="s">
        <v>96</v>
      </c>
      <c r="I56" s="135" t="s">
        <v>196</v>
      </c>
      <c r="J56" s="136" t="s">
        <v>197</v>
      </c>
      <c r="K56" s="137"/>
      <c r="L56" s="138"/>
      <c r="M56" s="139" t="s">
        <v>196</v>
      </c>
      <c r="N56" s="136" t="s">
        <v>198</v>
      </c>
      <c r="O56" s="137"/>
      <c r="P56" s="137"/>
      <c r="Q56" s="137"/>
      <c r="R56" s="137"/>
      <c r="S56" s="137"/>
      <c r="T56" s="137"/>
      <c r="U56" s="137"/>
      <c r="V56" s="137"/>
      <c r="W56" s="137"/>
      <c r="X56" s="145"/>
      <c r="Y56" s="134"/>
      <c r="Z56" s="95"/>
      <c r="AA56" s="95"/>
      <c r="AB56" s="96"/>
      <c r="AC56" s="394"/>
      <c r="AD56" s="395"/>
      <c r="AE56" s="395"/>
      <c r="AF56" s="396"/>
      <c r="AI56" s="109" t="str">
        <f>"25:sintaikousoku_code:" &amp; IF(I56="■",1,IF(M56="■",2,0))</f>
        <v>25:sintaikousoku_code:0</v>
      </c>
    </row>
    <row r="57" spans="1:36" ht="19.5" customHeight="1" x14ac:dyDescent="0.15">
      <c r="A57" s="97"/>
      <c r="B57" s="119"/>
      <c r="C57" s="99"/>
      <c r="D57" s="100"/>
      <c r="E57" s="101"/>
      <c r="F57" s="102"/>
      <c r="G57" s="103"/>
      <c r="H57" s="104" t="s">
        <v>215</v>
      </c>
      <c r="I57" s="175" t="s">
        <v>196</v>
      </c>
      <c r="J57" s="136" t="s">
        <v>197</v>
      </c>
      <c r="K57" s="137"/>
      <c r="L57" s="138"/>
      <c r="M57" s="139" t="s">
        <v>196</v>
      </c>
      <c r="N57" s="136" t="s">
        <v>216</v>
      </c>
      <c r="O57" s="136"/>
      <c r="P57" s="136"/>
      <c r="Q57" s="141"/>
      <c r="R57" s="141"/>
      <c r="S57" s="141"/>
      <c r="T57" s="141"/>
      <c r="U57" s="141"/>
      <c r="V57" s="141"/>
      <c r="W57" s="141"/>
      <c r="X57" s="142"/>
      <c r="Y57" s="95"/>
      <c r="Z57" s="95"/>
      <c r="AA57" s="95"/>
      <c r="AB57" s="96"/>
      <c r="AC57" s="394"/>
      <c r="AD57" s="395"/>
      <c r="AE57" s="395"/>
      <c r="AF57" s="396"/>
      <c r="AI57" s="109" t="str">
        <f>"25:field223:" &amp; IF(I57="■",1,IF(M57="■",2,0))</f>
        <v>25:field223:0</v>
      </c>
    </row>
    <row r="58" spans="1:36" ht="19.5" customHeight="1" x14ac:dyDescent="0.15">
      <c r="A58" s="97"/>
      <c r="B58" s="119"/>
      <c r="C58" s="99"/>
      <c r="D58" s="100"/>
      <c r="E58" s="101"/>
      <c r="F58" s="102"/>
      <c r="G58" s="103"/>
      <c r="H58" s="104" t="s">
        <v>226</v>
      </c>
      <c r="I58" s="175" t="s">
        <v>196</v>
      </c>
      <c r="J58" s="105" t="s">
        <v>197</v>
      </c>
      <c r="K58" s="154"/>
      <c r="L58" s="106"/>
      <c r="M58" s="191" t="s">
        <v>196</v>
      </c>
      <c r="N58" s="105" t="s">
        <v>216</v>
      </c>
      <c r="O58" s="105"/>
      <c r="P58" s="105"/>
      <c r="Q58" s="132"/>
      <c r="R58" s="132"/>
      <c r="S58" s="132"/>
      <c r="T58" s="132"/>
      <c r="U58" s="132"/>
      <c r="V58" s="132"/>
      <c r="W58" s="132"/>
      <c r="X58" s="133"/>
      <c r="Y58" s="95"/>
      <c r="Z58" s="94"/>
      <c r="AA58" s="95"/>
      <c r="AB58" s="96"/>
      <c r="AC58" s="394"/>
      <c r="AD58" s="395"/>
      <c r="AE58" s="395"/>
      <c r="AF58" s="396"/>
      <c r="AI58" s="109" t="str">
        <f>"25:field232:" &amp; IF(I58="■",1,IF(M58="■",2,0))</f>
        <v>25:field232:0</v>
      </c>
    </row>
    <row r="59" spans="1:36" ht="18.75" customHeight="1" x14ac:dyDescent="0.15">
      <c r="A59" s="97"/>
      <c r="B59" s="119"/>
      <c r="C59" s="99"/>
      <c r="D59" s="100"/>
      <c r="E59" s="101"/>
      <c r="F59" s="102"/>
      <c r="G59" s="101"/>
      <c r="H59" s="203" t="s">
        <v>98</v>
      </c>
      <c r="I59" s="175" t="s">
        <v>196</v>
      </c>
      <c r="J59" s="136" t="s">
        <v>153</v>
      </c>
      <c r="K59" s="137"/>
      <c r="L59" s="139" t="s">
        <v>196</v>
      </c>
      <c r="M59" s="136" t="s">
        <v>161</v>
      </c>
      <c r="N59" s="212"/>
      <c r="O59" s="137"/>
      <c r="P59" s="137"/>
      <c r="Q59" s="137"/>
      <c r="R59" s="137"/>
      <c r="S59" s="137"/>
      <c r="T59" s="137"/>
      <c r="U59" s="137"/>
      <c r="V59" s="137"/>
      <c r="W59" s="137"/>
      <c r="X59" s="145"/>
      <c r="Y59" s="134"/>
      <c r="Z59" s="95"/>
      <c r="AA59" s="95"/>
      <c r="AB59" s="96"/>
      <c r="AC59" s="394"/>
      <c r="AD59" s="395"/>
      <c r="AE59" s="395"/>
      <c r="AF59" s="396"/>
      <c r="AI59" s="109" t="str">
        <f>"25:yakinhaiti_code:" &amp; IF(I59="■",1,IF(L59="■",2,0))</f>
        <v>25:yakinhaiti_code:0</v>
      </c>
    </row>
    <row r="60" spans="1:36" ht="18.75" customHeight="1" x14ac:dyDescent="0.15">
      <c r="A60" s="97"/>
      <c r="B60" s="119"/>
      <c r="C60" s="99"/>
      <c r="D60" s="100"/>
      <c r="E60" s="101"/>
      <c r="F60" s="102"/>
      <c r="G60" s="101"/>
      <c r="H60" s="203" t="s">
        <v>244</v>
      </c>
      <c r="I60" s="175" t="s">
        <v>196</v>
      </c>
      <c r="J60" s="136" t="s">
        <v>153</v>
      </c>
      <c r="K60" s="137"/>
      <c r="L60" s="139" t="s">
        <v>196</v>
      </c>
      <c r="M60" s="136" t="s">
        <v>161</v>
      </c>
      <c r="N60" s="212"/>
      <c r="O60" s="137"/>
      <c r="P60" s="137"/>
      <c r="Q60" s="137"/>
      <c r="R60" s="137"/>
      <c r="S60" s="137"/>
      <c r="T60" s="137"/>
      <c r="U60" s="137"/>
      <c r="V60" s="137"/>
      <c r="W60" s="137"/>
      <c r="X60" s="145"/>
      <c r="Y60" s="134"/>
      <c r="Z60" s="95"/>
      <c r="AA60" s="95"/>
      <c r="AB60" s="96"/>
      <c r="AC60" s="394"/>
      <c r="AD60" s="395"/>
      <c r="AE60" s="395"/>
      <c r="AF60" s="396"/>
      <c r="AI60" s="109" t="str">
        <f>"25:jyakuninti_uke_code:" &amp; IF(I60="■",1,IF(L60="■",2,0))</f>
        <v>25:jyakuninti_uke_code:0</v>
      </c>
    </row>
    <row r="61" spans="1:36" ht="18.75" customHeight="1" x14ac:dyDescent="0.15">
      <c r="A61" s="196" t="s">
        <v>196</v>
      </c>
      <c r="B61" s="119">
        <v>25</v>
      </c>
      <c r="C61" s="99" t="s">
        <v>246</v>
      </c>
      <c r="D61" s="196" t="s">
        <v>196</v>
      </c>
      <c r="E61" s="101" t="s">
        <v>184</v>
      </c>
      <c r="F61" s="196" t="s">
        <v>196</v>
      </c>
      <c r="G61" s="101" t="s">
        <v>181</v>
      </c>
      <c r="H61" s="203" t="s">
        <v>136</v>
      </c>
      <c r="I61" s="175" t="s">
        <v>196</v>
      </c>
      <c r="J61" s="136" t="s">
        <v>153</v>
      </c>
      <c r="K61" s="136"/>
      <c r="L61" s="191" t="s">
        <v>196</v>
      </c>
      <c r="M61" s="136" t="s">
        <v>154</v>
      </c>
      <c r="N61" s="136"/>
      <c r="O61" s="139" t="s">
        <v>196</v>
      </c>
      <c r="P61" s="136" t="s">
        <v>155</v>
      </c>
      <c r="Q61" s="141"/>
      <c r="R61" s="136"/>
      <c r="S61" s="136"/>
      <c r="T61" s="136"/>
      <c r="U61" s="136"/>
      <c r="V61" s="136"/>
      <c r="W61" s="136"/>
      <c r="X61" s="144"/>
      <c r="Y61" s="134"/>
      <c r="Z61" s="95"/>
      <c r="AA61" s="95"/>
      <c r="AB61" s="96"/>
      <c r="AC61" s="394"/>
      <c r="AD61" s="395"/>
      <c r="AE61" s="395"/>
      <c r="AF61" s="396"/>
      <c r="AI61" s="109" t="str">
        <f>"25:zaitaku_hukki_code:" &amp; IF(I61="■",1,IF(L61="■",2,IF(O61="■",3,0)))</f>
        <v>25:zaitaku_hukki_code:0</v>
      </c>
    </row>
    <row r="62" spans="1:36" ht="18.75" customHeight="1" x14ac:dyDescent="0.15">
      <c r="A62" s="97"/>
      <c r="B62" s="119"/>
      <c r="C62" s="99"/>
      <c r="D62" s="100"/>
      <c r="E62" s="101"/>
      <c r="F62" s="196" t="s">
        <v>196</v>
      </c>
      <c r="G62" s="101" t="s">
        <v>182</v>
      </c>
      <c r="H62" s="203" t="s">
        <v>90</v>
      </c>
      <c r="I62" s="175" t="s">
        <v>196</v>
      </c>
      <c r="J62" s="136" t="s">
        <v>159</v>
      </c>
      <c r="K62" s="137"/>
      <c r="L62" s="138"/>
      <c r="M62" s="139" t="s">
        <v>196</v>
      </c>
      <c r="N62" s="136" t="s">
        <v>160</v>
      </c>
      <c r="O62" s="141"/>
      <c r="P62" s="137"/>
      <c r="Q62" s="137"/>
      <c r="R62" s="137"/>
      <c r="S62" s="137"/>
      <c r="T62" s="137"/>
      <c r="U62" s="137"/>
      <c r="V62" s="137"/>
      <c r="W62" s="137"/>
      <c r="X62" s="145"/>
      <c r="Y62" s="134"/>
      <c r="Z62" s="95"/>
      <c r="AA62" s="95"/>
      <c r="AB62" s="96"/>
      <c r="AC62" s="394"/>
      <c r="AD62" s="395"/>
      <c r="AE62" s="395"/>
      <c r="AF62" s="396"/>
      <c r="AI62" s="109" t="str">
        <f>"25:sougei_code:" &amp; IF(I62="■",1,IF(M62="■",2,0))</f>
        <v>25:sougei_code:0</v>
      </c>
    </row>
    <row r="63" spans="1:36" ht="19.5" customHeight="1" x14ac:dyDescent="0.15">
      <c r="A63" s="97"/>
      <c r="B63" s="119"/>
      <c r="C63" s="99"/>
      <c r="D63" s="100"/>
      <c r="E63" s="101"/>
      <c r="F63" s="102"/>
      <c r="G63" s="101"/>
      <c r="H63" s="104" t="s">
        <v>217</v>
      </c>
      <c r="I63" s="175" t="s">
        <v>196</v>
      </c>
      <c r="J63" s="136" t="s">
        <v>153</v>
      </c>
      <c r="K63" s="136"/>
      <c r="L63" s="139" t="s">
        <v>196</v>
      </c>
      <c r="M63" s="136" t="s">
        <v>161</v>
      </c>
      <c r="N63" s="136"/>
      <c r="O63" s="141"/>
      <c r="P63" s="136"/>
      <c r="Q63" s="141"/>
      <c r="R63" s="141"/>
      <c r="S63" s="141"/>
      <c r="T63" s="141"/>
      <c r="U63" s="141"/>
      <c r="V63" s="141"/>
      <c r="W63" s="141"/>
      <c r="X63" s="142"/>
      <c r="Y63" s="95"/>
      <c r="Z63" s="95"/>
      <c r="AA63" s="95"/>
      <c r="AB63" s="96"/>
      <c r="AC63" s="394"/>
      <c r="AD63" s="395"/>
      <c r="AE63" s="395"/>
      <c r="AF63" s="396"/>
      <c r="AI63" s="109" t="str">
        <f>"25:field224:" &amp; IF(I63="■",1,IF(L63="■",2,0))</f>
        <v>25:field224:0</v>
      </c>
    </row>
    <row r="64" spans="1:36" ht="18.75" customHeight="1" x14ac:dyDescent="0.15">
      <c r="A64" s="97"/>
      <c r="B64" s="119"/>
      <c r="C64" s="99"/>
      <c r="D64" s="100"/>
      <c r="E64" s="101"/>
      <c r="F64" s="102"/>
      <c r="G64" s="101"/>
      <c r="H64" s="203" t="s">
        <v>99</v>
      </c>
      <c r="I64" s="175" t="s">
        <v>196</v>
      </c>
      <c r="J64" s="136" t="s">
        <v>153</v>
      </c>
      <c r="K64" s="137"/>
      <c r="L64" s="139" t="s">
        <v>196</v>
      </c>
      <c r="M64" s="136" t="s">
        <v>161</v>
      </c>
      <c r="N64" s="212"/>
      <c r="O64" s="137"/>
      <c r="P64" s="137"/>
      <c r="Q64" s="137"/>
      <c r="R64" s="137"/>
      <c r="S64" s="137"/>
      <c r="T64" s="137"/>
      <c r="U64" s="137"/>
      <c r="V64" s="137"/>
      <c r="W64" s="137"/>
      <c r="X64" s="145"/>
      <c r="Y64" s="134"/>
      <c r="Z64" s="95"/>
      <c r="AA64" s="95"/>
      <c r="AB64" s="96"/>
      <c r="AC64" s="394"/>
      <c r="AD64" s="395"/>
      <c r="AE64" s="395"/>
      <c r="AF64" s="396"/>
      <c r="AI64" s="109" t="str">
        <f>"25:ryouyoushoku_code:" &amp; IF(I64="■",1,IF(L64="■",2,0))</f>
        <v>25:ryouyoushoku_code:0</v>
      </c>
    </row>
    <row r="65" spans="1:36" ht="18.75" customHeight="1" x14ac:dyDescent="0.15">
      <c r="A65" s="97"/>
      <c r="B65" s="119"/>
      <c r="C65" s="99"/>
      <c r="D65" s="100"/>
      <c r="E65" s="101"/>
      <c r="F65" s="102"/>
      <c r="G65" s="101"/>
      <c r="H65" s="203" t="s">
        <v>122</v>
      </c>
      <c r="I65" s="175" t="s">
        <v>196</v>
      </c>
      <c r="J65" s="136" t="s">
        <v>153</v>
      </c>
      <c r="K65" s="136"/>
      <c r="L65" s="139" t="s">
        <v>196</v>
      </c>
      <c r="M65" s="136" t="s">
        <v>154</v>
      </c>
      <c r="N65" s="136"/>
      <c r="O65" s="139" t="s">
        <v>196</v>
      </c>
      <c r="P65" s="136" t="s">
        <v>155</v>
      </c>
      <c r="Q65" s="141"/>
      <c r="R65" s="137"/>
      <c r="S65" s="137"/>
      <c r="T65" s="137"/>
      <c r="U65" s="137"/>
      <c r="V65" s="137"/>
      <c r="W65" s="137"/>
      <c r="X65" s="145"/>
      <c r="Y65" s="134"/>
      <c r="Z65" s="95"/>
      <c r="AA65" s="95"/>
      <c r="AB65" s="96"/>
      <c r="AC65" s="394"/>
      <c r="AD65" s="395"/>
      <c r="AE65" s="395"/>
      <c r="AF65" s="396"/>
      <c r="AI65" s="109" t="str">
        <f>"25:ninti_senmoncare_code:" &amp; IF(I65="■",1,IF(O65="■",3,IF(L65="■",2,0)))</f>
        <v>25:ninti_senmoncare_code:0</v>
      </c>
    </row>
    <row r="66" spans="1:36" ht="18.75" customHeight="1" x14ac:dyDescent="0.15">
      <c r="A66" s="97"/>
      <c r="B66" s="119"/>
      <c r="C66" s="99"/>
      <c r="D66" s="100"/>
      <c r="E66" s="101"/>
      <c r="F66" s="102"/>
      <c r="G66" s="101"/>
      <c r="H66" s="213" t="s">
        <v>224</v>
      </c>
      <c r="I66" s="175" t="s">
        <v>196</v>
      </c>
      <c r="J66" s="136" t="s">
        <v>153</v>
      </c>
      <c r="K66" s="136"/>
      <c r="L66" s="139" t="s">
        <v>196</v>
      </c>
      <c r="M66" s="136" t="s">
        <v>154</v>
      </c>
      <c r="N66" s="136"/>
      <c r="O66" s="139" t="s">
        <v>196</v>
      </c>
      <c r="P66" s="136" t="s">
        <v>155</v>
      </c>
      <c r="Q66" s="141"/>
      <c r="R66" s="141"/>
      <c r="S66" s="141"/>
      <c r="T66" s="141"/>
      <c r="U66" s="214"/>
      <c r="V66" s="214"/>
      <c r="W66" s="214"/>
      <c r="X66" s="215"/>
      <c r="Y66" s="134"/>
      <c r="Z66" s="95"/>
      <c r="AA66" s="95"/>
      <c r="AB66" s="96"/>
      <c r="AC66" s="394"/>
      <c r="AD66" s="395"/>
      <c r="AE66" s="395"/>
      <c r="AF66" s="396"/>
      <c r="AI66" s="109" t="str">
        <f>"25:field225:" &amp; IF(I66="■",1,IF(L66="■",2,IF(O66="■",3,0)))</f>
        <v>25:field225:0</v>
      </c>
    </row>
    <row r="67" spans="1:36" ht="18.75" customHeight="1" x14ac:dyDescent="0.15">
      <c r="A67" s="97"/>
      <c r="B67" s="119"/>
      <c r="C67" s="99"/>
      <c r="D67" s="100"/>
      <c r="E67" s="101"/>
      <c r="F67" s="102"/>
      <c r="G67" s="101"/>
      <c r="H67" s="199" t="s">
        <v>103</v>
      </c>
      <c r="I67" s="175" t="s">
        <v>196</v>
      </c>
      <c r="J67" s="136" t="s">
        <v>153</v>
      </c>
      <c r="K67" s="136"/>
      <c r="L67" s="139" t="s">
        <v>196</v>
      </c>
      <c r="M67" s="136" t="s">
        <v>157</v>
      </c>
      <c r="N67" s="136"/>
      <c r="O67" s="139" t="s">
        <v>196</v>
      </c>
      <c r="P67" s="136" t="s">
        <v>158</v>
      </c>
      <c r="Q67" s="212"/>
      <c r="R67" s="139" t="s">
        <v>196</v>
      </c>
      <c r="S67" s="136" t="s">
        <v>167</v>
      </c>
      <c r="T67" s="136"/>
      <c r="U67" s="136"/>
      <c r="V67" s="136"/>
      <c r="W67" s="136"/>
      <c r="X67" s="144"/>
      <c r="Y67" s="134"/>
      <c r="Z67" s="95"/>
      <c r="AA67" s="95"/>
      <c r="AB67" s="96"/>
      <c r="AC67" s="394"/>
      <c r="AD67" s="395"/>
      <c r="AE67" s="395"/>
      <c r="AF67" s="396"/>
      <c r="AI67" s="109" t="str">
        <f>"25:serteikyo_kyoka_code:" &amp; IF(I67="■",1,IF(L67="■",6,IF(O67="■",5,IF(R67="■",7,0))))</f>
        <v>25:serteikyo_kyoka_code:0</v>
      </c>
    </row>
    <row r="68" spans="1:36" ht="18.75" customHeight="1" x14ac:dyDescent="0.15">
      <c r="A68" s="97"/>
      <c r="B68" s="119"/>
      <c r="C68" s="99"/>
      <c r="D68" s="100"/>
      <c r="E68" s="101"/>
      <c r="F68" s="102"/>
      <c r="G68" s="101"/>
      <c r="H68" s="351" t="s">
        <v>238</v>
      </c>
      <c r="I68" s="390" t="s">
        <v>196</v>
      </c>
      <c r="J68" s="389" t="s">
        <v>153</v>
      </c>
      <c r="K68" s="389"/>
      <c r="L68" s="390" t="s">
        <v>196</v>
      </c>
      <c r="M68" s="389" t="s">
        <v>161</v>
      </c>
      <c r="N68" s="389"/>
      <c r="O68" s="147"/>
      <c r="P68" s="147"/>
      <c r="Q68" s="147"/>
      <c r="R68" s="147"/>
      <c r="S68" s="147"/>
      <c r="T68" s="147"/>
      <c r="U68" s="147"/>
      <c r="V68" s="147"/>
      <c r="W68" s="147"/>
      <c r="X68" s="151"/>
      <c r="Y68" s="134"/>
      <c r="Z68" s="95"/>
      <c r="AA68" s="95"/>
      <c r="AB68" s="96"/>
      <c r="AC68" s="394"/>
      <c r="AD68" s="395"/>
      <c r="AE68" s="395"/>
      <c r="AF68" s="396"/>
      <c r="AI68" s="109" t="str">
        <f>"25:field221:" &amp; IF(I68="■",1,IF(L68="■",2,0))</f>
        <v>25:field221:0</v>
      </c>
    </row>
    <row r="69" spans="1:36" ht="18.75" customHeight="1" x14ac:dyDescent="0.15">
      <c r="A69" s="97"/>
      <c r="B69" s="119"/>
      <c r="C69" s="99"/>
      <c r="D69" s="100"/>
      <c r="E69" s="101"/>
      <c r="F69" s="102"/>
      <c r="G69" s="101"/>
      <c r="H69" s="352"/>
      <c r="I69" s="390"/>
      <c r="J69" s="389"/>
      <c r="K69" s="389"/>
      <c r="L69" s="390"/>
      <c r="M69" s="389"/>
      <c r="N69" s="389"/>
      <c r="O69" s="105"/>
      <c r="P69" s="105"/>
      <c r="Q69" s="105"/>
      <c r="R69" s="105"/>
      <c r="S69" s="105"/>
      <c r="T69" s="105"/>
      <c r="U69" s="105"/>
      <c r="V69" s="105"/>
      <c r="W69" s="105"/>
      <c r="X69" s="149"/>
      <c r="Y69" s="134"/>
      <c r="Z69" s="95"/>
      <c r="AA69" s="95"/>
      <c r="AB69" s="96"/>
      <c r="AC69" s="394"/>
      <c r="AD69" s="395"/>
      <c r="AE69" s="395"/>
      <c r="AF69" s="396"/>
    </row>
    <row r="70" spans="1:36" ht="18.75" customHeight="1" x14ac:dyDescent="0.15">
      <c r="A70" s="156"/>
      <c r="B70" s="231"/>
      <c r="C70" s="158"/>
      <c r="D70" s="159"/>
      <c r="E70" s="160"/>
      <c r="F70" s="161"/>
      <c r="G70" s="162"/>
      <c r="H70" s="85" t="s">
        <v>234</v>
      </c>
      <c r="I70" s="163" t="s">
        <v>196</v>
      </c>
      <c r="J70" s="86" t="s">
        <v>153</v>
      </c>
      <c r="K70" s="86"/>
      <c r="L70" s="164" t="s">
        <v>196</v>
      </c>
      <c r="M70" s="86" t="s">
        <v>218</v>
      </c>
      <c r="N70" s="87"/>
      <c r="O70" s="164" t="s">
        <v>196</v>
      </c>
      <c r="P70" s="89" t="s">
        <v>219</v>
      </c>
      <c r="Q70" s="88"/>
      <c r="R70" s="164" t="s">
        <v>196</v>
      </c>
      <c r="S70" s="86" t="s">
        <v>220</v>
      </c>
      <c r="T70" s="88"/>
      <c r="U70" s="164" t="s">
        <v>196</v>
      </c>
      <c r="V70" s="86" t="s">
        <v>221</v>
      </c>
      <c r="W70" s="90"/>
      <c r="X70" s="91"/>
      <c r="Y70" s="165"/>
      <c r="Z70" s="165"/>
      <c r="AA70" s="165"/>
      <c r="AB70" s="166"/>
      <c r="AC70" s="397"/>
      <c r="AD70" s="398"/>
      <c r="AE70" s="398"/>
      <c r="AF70" s="399"/>
      <c r="AG70" s="109"/>
      <c r="AH70" s="109"/>
      <c r="AI70" s="109" t="str">
        <f>"25:shoguukaizen_code:"&amp;IF(I70="■",1,IF(L70="■",7,IF(O70="■",8,IF(R70="■",9,IF(U70="■","A",0)))))</f>
        <v>25:shoguukaizen_code:0</v>
      </c>
    </row>
    <row r="71" spans="1:36" ht="18.75" customHeight="1" x14ac:dyDescent="0.15">
      <c r="A71" s="122"/>
      <c r="B71" s="123"/>
      <c r="C71" s="124"/>
      <c r="D71" s="125"/>
      <c r="E71" s="117"/>
      <c r="F71" s="126"/>
      <c r="G71" s="117"/>
      <c r="H71" s="201" t="s">
        <v>92</v>
      </c>
      <c r="I71" s="175" t="s">
        <v>196</v>
      </c>
      <c r="J71" s="168" t="s">
        <v>179</v>
      </c>
      <c r="K71" s="169"/>
      <c r="L71" s="170"/>
      <c r="M71" s="171" t="s">
        <v>196</v>
      </c>
      <c r="N71" s="168" t="s">
        <v>180</v>
      </c>
      <c r="O71" s="195"/>
      <c r="P71" s="169"/>
      <c r="Q71" s="169"/>
      <c r="R71" s="169"/>
      <c r="S71" s="169"/>
      <c r="T71" s="169"/>
      <c r="U71" s="169"/>
      <c r="V71" s="169"/>
      <c r="W71" s="169"/>
      <c r="X71" s="223"/>
      <c r="Y71" s="227" t="s">
        <v>196</v>
      </c>
      <c r="Z71" s="115" t="s">
        <v>152</v>
      </c>
      <c r="AA71" s="115"/>
      <c r="AB71" s="128"/>
      <c r="AC71" s="391"/>
      <c r="AD71" s="392"/>
      <c r="AE71" s="392"/>
      <c r="AF71" s="393"/>
      <c r="AG71" s="109" t="str">
        <f>"ser_code = '" &amp; IF(A81="■",25,"") &amp; "'"</f>
        <v>ser_code = ''</v>
      </c>
      <c r="AH71" s="109"/>
      <c r="AI71" s="109" t="str">
        <f>"25:yakan_kinmu_code:" &amp; IF(I71="■",1,IF(M71="■",6,0))</f>
        <v>25:yakan_kinmu_code:0</v>
      </c>
      <c r="AJ71" s="109" t="str">
        <f>"25:field203:" &amp; IF(Y71="■",1,IF(Y72="■",2,0))</f>
        <v>25:field203:0</v>
      </c>
    </row>
    <row r="72" spans="1:36" ht="18.75" customHeight="1" x14ac:dyDescent="0.15">
      <c r="A72" s="97"/>
      <c r="B72" s="119"/>
      <c r="C72" s="99"/>
      <c r="D72" s="100"/>
      <c r="E72" s="101"/>
      <c r="F72" s="102"/>
      <c r="G72" s="101"/>
      <c r="H72" s="349" t="s">
        <v>89</v>
      </c>
      <c r="I72" s="175" t="s">
        <v>196</v>
      </c>
      <c r="J72" s="94" t="s">
        <v>153</v>
      </c>
      <c r="K72" s="94"/>
      <c r="L72" s="190"/>
      <c r="M72" s="197" t="s">
        <v>196</v>
      </c>
      <c r="N72" s="94" t="s">
        <v>168</v>
      </c>
      <c r="O72" s="94"/>
      <c r="P72" s="190"/>
      <c r="Q72" s="197" t="s">
        <v>196</v>
      </c>
      <c r="R72" s="146" t="s">
        <v>169</v>
      </c>
      <c r="U72" s="197" t="s">
        <v>196</v>
      </c>
      <c r="V72" s="146" t="s">
        <v>170</v>
      </c>
      <c r="X72" s="153"/>
      <c r="Y72" s="197" t="s">
        <v>196</v>
      </c>
      <c r="Z72" s="94" t="s">
        <v>156</v>
      </c>
      <c r="AA72" s="95"/>
      <c r="AB72" s="96"/>
      <c r="AC72" s="394"/>
      <c r="AD72" s="395"/>
      <c r="AE72" s="395"/>
      <c r="AF72" s="396"/>
      <c r="AG72" s="109" t="str">
        <f>"25:sisetukbn_code:" &amp; IF(D81="■",5,IF(D82="■",7,0))</f>
        <v>25:sisetukbn_code:0</v>
      </c>
      <c r="AH72" s="109"/>
      <c r="AI72" s="109" t="str">
        <f>"25:"&amp;IF(AND(I72="□",M72="□",Q72="□",U72="□",I73="□",M73="□",Q73="□"),"ketu_doctor_code:0",IF(I72="■","ketu_doctor_code:1:ketu_kangos_code:1:ketu_kshoku_code:1:ketu_rryoho_code:1:ketu_sryoho_code:1:ketu_gengo_code:1",
IF(M72="■","ketu_doctor_code:2","ketu_doctor_code:1")
&amp;IF(Q72="■",":ketu_kangos_code:2",":ketu_kangos_code:1")
&amp;IF(U72="■",":ketu_kshoku_code:2",":ketu_kshoku_code:1")
&amp;IF(I73="■",":ketu_rryoho_code:2",":ketu_rryoho_code:1")
&amp;IF(M73="■",":ketu_sryoho_code:2",":ketu_sryoho_code:1")
&amp;IF(Q73="■",":ketu_gengo_code:2",":ketu_gengo_code:1")))</f>
        <v>25:ketu_doctor_code:0</v>
      </c>
      <c r="AJ72" s="109"/>
    </row>
    <row r="73" spans="1:36" ht="18.75" customHeight="1" x14ac:dyDescent="0.15">
      <c r="A73" s="97"/>
      <c r="B73" s="119"/>
      <c r="C73" s="99"/>
      <c r="D73" s="100"/>
      <c r="E73" s="101"/>
      <c r="F73" s="102"/>
      <c r="G73" s="101"/>
      <c r="H73" s="350"/>
      <c r="I73" s="196" t="s">
        <v>196</v>
      </c>
      <c r="J73" s="105" t="s">
        <v>171</v>
      </c>
      <c r="K73" s="148"/>
      <c r="L73" s="148"/>
      <c r="M73" s="191" t="s">
        <v>196</v>
      </c>
      <c r="N73" s="105" t="s">
        <v>172</v>
      </c>
      <c r="O73" s="148"/>
      <c r="P73" s="148"/>
      <c r="Q73" s="191" t="s">
        <v>196</v>
      </c>
      <c r="R73" s="105" t="s">
        <v>173</v>
      </c>
      <c r="S73" s="148"/>
      <c r="T73" s="148"/>
      <c r="U73" s="148"/>
      <c r="V73" s="148"/>
      <c r="W73" s="148"/>
      <c r="X73" s="229"/>
      <c r="Y73" s="134"/>
      <c r="Z73" s="95"/>
      <c r="AA73" s="95"/>
      <c r="AB73" s="96"/>
      <c r="AC73" s="394"/>
      <c r="AD73" s="395"/>
      <c r="AE73" s="395"/>
      <c r="AF73" s="396"/>
      <c r="AG73" s="109"/>
      <c r="AH73" s="109"/>
      <c r="AI73" s="109"/>
      <c r="AJ73" s="109"/>
    </row>
    <row r="74" spans="1:36" ht="18.75" customHeight="1" x14ac:dyDescent="0.15">
      <c r="A74" s="97"/>
      <c r="B74" s="119"/>
      <c r="C74" s="99"/>
      <c r="D74" s="100"/>
      <c r="E74" s="101"/>
      <c r="F74" s="102"/>
      <c r="G74" s="101"/>
      <c r="H74" s="203" t="s">
        <v>93</v>
      </c>
      <c r="I74" s="175" t="s">
        <v>196</v>
      </c>
      <c r="J74" s="136" t="s">
        <v>159</v>
      </c>
      <c r="K74" s="137"/>
      <c r="L74" s="138"/>
      <c r="M74" s="139" t="s">
        <v>196</v>
      </c>
      <c r="N74" s="136" t="s">
        <v>160</v>
      </c>
      <c r="O74" s="141"/>
      <c r="P74" s="137"/>
      <c r="Q74" s="137"/>
      <c r="R74" s="137"/>
      <c r="S74" s="137"/>
      <c r="T74" s="137"/>
      <c r="U74" s="137"/>
      <c r="V74" s="137"/>
      <c r="W74" s="137"/>
      <c r="X74" s="145"/>
      <c r="Y74" s="134"/>
      <c r="Z74" s="95"/>
      <c r="AA74" s="95"/>
      <c r="AB74" s="96"/>
      <c r="AC74" s="394"/>
      <c r="AD74" s="395"/>
      <c r="AE74" s="395"/>
      <c r="AF74" s="396"/>
      <c r="AG74" s="109"/>
      <c r="AH74" s="109"/>
      <c r="AI74" s="109" t="str">
        <f>"25:unitcare_code:" &amp; IF(I74="■",1,IF(M74="■",2,0))</f>
        <v>25:unitcare_code:0</v>
      </c>
      <c r="AJ74" s="109"/>
    </row>
    <row r="75" spans="1:36" s="109" customFormat="1" ht="18.75" customHeight="1" x14ac:dyDescent="0.15">
      <c r="A75" s="97"/>
      <c r="B75" s="119"/>
      <c r="C75" s="210"/>
      <c r="D75" s="211"/>
      <c r="E75" s="101"/>
      <c r="F75" s="102"/>
      <c r="G75" s="103"/>
      <c r="H75" s="203" t="s">
        <v>96</v>
      </c>
      <c r="I75" s="135" t="s">
        <v>196</v>
      </c>
      <c r="J75" s="136" t="s">
        <v>197</v>
      </c>
      <c r="K75" s="137"/>
      <c r="L75" s="138"/>
      <c r="M75" s="139" t="s">
        <v>196</v>
      </c>
      <c r="N75" s="136" t="s">
        <v>198</v>
      </c>
      <c r="O75" s="137"/>
      <c r="P75" s="137"/>
      <c r="Q75" s="137"/>
      <c r="R75" s="137"/>
      <c r="S75" s="137"/>
      <c r="T75" s="137"/>
      <c r="U75" s="137"/>
      <c r="V75" s="137"/>
      <c r="W75" s="137"/>
      <c r="X75" s="145"/>
      <c r="Y75" s="134"/>
      <c r="Z75" s="95"/>
      <c r="AA75" s="95"/>
      <c r="AB75" s="96"/>
      <c r="AC75" s="394"/>
      <c r="AD75" s="395"/>
      <c r="AE75" s="395"/>
      <c r="AF75" s="396"/>
      <c r="AI75" s="109" t="str">
        <f>"25:sintaikousoku_code:" &amp; IF(I75="■",1,IF(M75="■",2,0))</f>
        <v>25:sintaikousoku_code:0</v>
      </c>
    </row>
    <row r="76" spans="1:36" ht="19.5" customHeight="1" x14ac:dyDescent="0.15">
      <c r="A76" s="97"/>
      <c r="B76" s="119"/>
      <c r="C76" s="99"/>
      <c r="D76" s="100"/>
      <c r="E76" s="101"/>
      <c r="F76" s="102"/>
      <c r="G76" s="103"/>
      <c r="H76" s="104" t="s">
        <v>215</v>
      </c>
      <c r="I76" s="175" t="s">
        <v>196</v>
      </c>
      <c r="J76" s="136" t="s">
        <v>197</v>
      </c>
      <c r="K76" s="137"/>
      <c r="L76" s="138"/>
      <c r="M76" s="139" t="s">
        <v>196</v>
      </c>
      <c r="N76" s="136" t="s">
        <v>216</v>
      </c>
      <c r="O76" s="136"/>
      <c r="P76" s="136"/>
      <c r="Q76" s="141"/>
      <c r="R76" s="141"/>
      <c r="S76" s="141"/>
      <c r="T76" s="141"/>
      <c r="U76" s="141"/>
      <c r="V76" s="141"/>
      <c r="W76" s="141"/>
      <c r="X76" s="142"/>
      <c r="Y76" s="95"/>
      <c r="Z76" s="95"/>
      <c r="AA76" s="95"/>
      <c r="AB76" s="96"/>
      <c r="AC76" s="394"/>
      <c r="AD76" s="395"/>
      <c r="AE76" s="395"/>
      <c r="AF76" s="396"/>
      <c r="AI76" s="109" t="str">
        <f>"25:field223:" &amp; IF(I76="■",1,IF(M76="■",2,0))</f>
        <v>25:field223:0</v>
      </c>
    </row>
    <row r="77" spans="1:36" ht="19.5" customHeight="1" x14ac:dyDescent="0.15">
      <c r="A77" s="97"/>
      <c r="B77" s="119"/>
      <c r="C77" s="99"/>
      <c r="D77" s="100"/>
      <c r="E77" s="101"/>
      <c r="F77" s="102"/>
      <c r="G77" s="103"/>
      <c r="H77" s="104" t="s">
        <v>226</v>
      </c>
      <c r="I77" s="175" t="s">
        <v>196</v>
      </c>
      <c r="J77" s="105" t="s">
        <v>197</v>
      </c>
      <c r="K77" s="154"/>
      <c r="L77" s="106"/>
      <c r="M77" s="191" t="s">
        <v>196</v>
      </c>
      <c r="N77" s="105" t="s">
        <v>216</v>
      </c>
      <c r="O77" s="105"/>
      <c r="P77" s="105"/>
      <c r="Q77" s="132"/>
      <c r="R77" s="132"/>
      <c r="S77" s="132"/>
      <c r="T77" s="132"/>
      <c r="U77" s="132"/>
      <c r="V77" s="132"/>
      <c r="W77" s="132"/>
      <c r="X77" s="133"/>
      <c r="Y77" s="95"/>
      <c r="Z77" s="94"/>
      <c r="AA77" s="95"/>
      <c r="AB77" s="96"/>
      <c r="AC77" s="394"/>
      <c r="AD77" s="395"/>
      <c r="AE77" s="395"/>
      <c r="AF77" s="396"/>
      <c r="AI77" s="109" t="str">
        <f>"25:field232:" &amp; IF(I77="■",1,IF(M77="■",2,0))</f>
        <v>25:field232:0</v>
      </c>
    </row>
    <row r="78" spans="1:36" ht="19.5" customHeight="1" x14ac:dyDescent="0.15">
      <c r="A78" s="97"/>
      <c r="B78" s="119"/>
      <c r="C78" s="99"/>
      <c r="D78" s="100"/>
      <c r="E78" s="101"/>
      <c r="F78" s="102"/>
      <c r="G78" s="103"/>
      <c r="H78" s="104" t="s">
        <v>251</v>
      </c>
      <c r="I78" s="135" t="s">
        <v>196</v>
      </c>
      <c r="J78" s="105" t="s">
        <v>249</v>
      </c>
      <c r="K78" s="154"/>
      <c r="L78" s="106"/>
      <c r="M78" s="139" t="s">
        <v>196</v>
      </c>
      <c r="N78" s="105" t="s">
        <v>250</v>
      </c>
      <c r="O78" s="208"/>
      <c r="P78" s="105"/>
      <c r="Q78" s="132"/>
      <c r="R78" s="132"/>
      <c r="S78" s="132"/>
      <c r="T78" s="132"/>
      <c r="U78" s="132"/>
      <c r="V78" s="132"/>
      <c r="W78" s="132"/>
      <c r="X78" s="133"/>
      <c r="Y78" s="150"/>
      <c r="Z78" s="94"/>
      <c r="AA78" s="95"/>
      <c r="AB78" s="96"/>
      <c r="AC78" s="394"/>
      <c r="AD78" s="395"/>
      <c r="AE78" s="395"/>
      <c r="AF78" s="396"/>
      <c r="AI78" s="109" t="str">
        <f>"25:field242:" &amp; IF(I78="■",1,IF(M78="■",2,0))</f>
        <v>25:field242:0</v>
      </c>
    </row>
    <row r="79" spans="1:36" ht="18.75" customHeight="1" x14ac:dyDescent="0.15">
      <c r="A79" s="97"/>
      <c r="B79" s="119"/>
      <c r="C79" s="99"/>
      <c r="D79" s="100"/>
      <c r="E79" s="101"/>
      <c r="F79" s="102"/>
      <c r="G79" s="101"/>
      <c r="H79" s="203" t="s">
        <v>98</v>
      </c>
      <c r="I79" s="175" t="s">
        <v>196</v>
      </c>
      <c r="J79" s="136" t="s">
        <v>153</v>
      </c>
      <c r="K79" s="137"/>
      <c r="L79" s="139" t="s">
        <v>196</v>
      </c>
      <c r="M79" s="136" t="s">
        <v>161</v>
      </c>
      <c r="N79" s="212"/>
      <c r="O79" s="141"/>
      <c r="P79" s="141"/>
      <c r="Q79" s="141"/>
      <c r="R79" s="141"/>
      <c r="S79" s="141"/>
      <c r="T79" s="141"/>
      <c r="U79" s="141"/>
      <c r="V79" s="141"/>
      <c r="W79" s="141"/>
      <c r="X79" s="142"/>
      <c r="Y79" s="134"/>
      <c r="Z79" s="95"/>
      <c r="AA79" s="95"/>
      <c r="AB79" s="96"/>
      <c r="AC79" s="394"/>
      <c r="AD79" s="395"/>
      <c r="AE79" s="395"/>
      <c r="AF79" s="396"/>
      <c r="AI79" s="109" t="str">
        <f>"25:yakinhaiti_code:" &amp; IF(I79="■",1,IF(L79="■",2,0))</f>
        <v>25:yakinhaiti_code:0</v>
      </c>
    </row>
    <row r="80" spans="1:36" ht="18.75" customHeight="1" x14ac:dyDescent="0.15">
      <c r="A80" s="97"/>
      <c r="B80" s="119"/>
      <c r="C80" s="99"/>
      <c r="D80" s="100"/>
      <c r="E80" s="101"/>
      <c r="F80" s="102"/>
      <c r="G80" s="101"/>
      <c r="H80" s="203" t="s">
        <v>244</v>
      </c>
      <c r="I80" s="175" t="s">
        <v>196</v>
      </c>
      <c r="J80" s="136" t="s">
        <v>153</v>
      </c>
      <c r="K80" s="137"/>
      <c r="L80" s="139" t="s">
        <v>196</v>
      </c>
      <c r="M80" s="136" t="s">
        <v>161</v>
      </c>
      <c r="N80" s="212"/>
      <c r="O80" s="141"/>
      <c r="P80" s="141"/>
      <c r="Q80" s="141"/>
      <c r="R80" s="141"/>
      <c r="S80" s="141"/>
      <c r="T80" s="141"/>
      <c r="U80" s="141"/>
      <c r="V80" s="141"/>
      <c r="W80" s="141"/>
      <c r="X80" s="142"/>
      <c r="Y80" s="134"/>
      <c r="Z80" s="95"/>
      <c r="AA80" s="95"/>
      <c r="AB80" s="96"/>
      <c r="AC80" s="394"/>
      <c r="AD80" s="395"/>
      <c r="AE80" s="395"/>
      <c r="AF80" s="396"/>
      <c r="AI80" s="109" t="str">
        <f>"25:jyakuninti_uke_code:" &amp; IF(I80="■",1,IF(L80="■",2,0))</f>
        <v>25:jyakuninti_uke_code:0</v>
      </c>
    </row>
    <row r="81" spans="1:36" ht="18.75" customHeight="1" x14ac:dyDescent="0.15">
      <c r="A81" s="196" t="s">
        <v>196</v>
      </c>
      <c r="B81" s="119">
        <v>25</v>
      </c>
      <c r="C81" s="99" t="s">
        <v>246</v>
      </c>
      <c r="D81" s="196" t="s">
        <v>196</v>
      </c>
      <c r="E81" s="101" t="s">
        <v>190</v>
      </c>
      <c r="F81" s="102"/>
      <c r="G81" s="101"/>
      <c r="H81" s="203" t="s">
        <v>90</v>
      </c>
      <c r="I81" s="175" t="s">
        <v>196</v>
      </c>
      <c r="J81" s="136" t="s">
        <v>159</v>
      </c>
      <c r="K81" s="137"/>
      <c r="L81" s="138"/>
      <c r="M81" s="139" t="s">
        <v>196</v>
      </c>
      <c r="N81" s="136" t="s">
        <v>160</v>
      </c>
      <c r="O81" s="141"/>
      <c r="P81" s="141"/>
      <c r="Q81" s="141"/>
      <c r="R81" s="141"/>
      <c r="S81" s="141"/>
      <c r="T81" s="141"/>
      <c r="U81" s="141"/>
      <c r="V81" s="141"/>
      <c r="W81" s="141"/>
      <c r="X81" s="142"/>
      <c r="Y81" s="134"/>
      <c r="Z81" s="95"/>
      <c r="AA81" s="95"/>
      <c r="AB81" s="96"/>
      <c r="AC81" s="394"/>
      <c r="AD81" s="395"/>
      <c r="AE81" s="395"/>
      <c r="AF81" s="396"/>
      <c r="AI81" s="109" t="str">
        <f>"25:sougei_code:" &amp; IF(I81="■",1,IF(M81="■",2,0))</f>
        <v>25:sougei_code:0</v>
      </c>
    </row>
    <row r="82" spans="1:36" ht="18.75" customHeight="1" x14ac:dyDescent="0.15">
      <c r="A82" s="97"/>
      <c r="B82" s="119"/>
      <c r="C82" s="99"/>
      <c r="D82" s="196" t="s">
        <v>196</v>
      </c>
      <c r="E82" s="101" t="s">
        <v>192</v>
      </c>
      <c r="F82" s="102"/>
      <c r="G82" s="101"/>
      <c r="H82" s="203" t="s">
        <v>101</v>
      </c>
      <c r="I82" s="175" t="s">
        <v>196</v>
      </c>
      <c r="J82" s="136" t="s">
        <v>188</v>
      </c>
      <c r="K82" s="141"/>
      <c r="L82" s="141"/>
      <c r="M82" s="141"/>
      <c r="N82" s="141"/>
      <c r="O82" s="141"/>
      <c r="P82" s="139" t="s">
        <v>196</v>
      </c>
      <c r="Q82" s="136" t="s">
        <v>189</v>
      </c>
      <c r="R82" s="141"/>
      <c r="S82" s="141"/>
      <c r="T82" s="141"/>
      <c r="U82" s="141"/>
      <c r="V82" s="141"/>
      <c r="W82" s="141"/>
      <c r="X82" s="142"/>
      <c r="Y82" s="134"/>
      <c r="Z82" s="95"/>
      <c r="AA82" s="95"/>
      <c r="AB82" s="96"/>
      <c r="AC82" s="394"/>
      <c r="AD82" s="395"/>
      <c r="AE82" s="395"/>
      <c r="AF82" s="396"/>
      <c r="AI82" s="109" t="str">
        <f>"25:" &amp; IF(AND(I82="□",P82="□"),"tokusin_jyusho_code:0:tokusin_yakuzai_code:0",IF(I82="■","tokusin_jyusho_code:2","tokusin_jyusho_code:1")
&amp;IF(P82="■",":tokusin_yakuzai_code:2",":tokusin_yakuzai_code:1"))</f>
        <v>25:tokusin_jyusho_code:0:tokusin_yakuzai_code:0</v>
      </c>
    </row>
    <row r="83" spans="1:36" ht="18.75" customHeight="1" x14ac:dyDescent="0.15">
      <c r="A83" s="97"/>
      <c r="B83" s="119"/>
      <c r="C83" s="99"/>
      <c r="D83" s="100"/>
      <c r="E83" s="101"/>
      <c r="F83" s="102"/>
      <c r="G83" s="101"/>
      <c r="H83" s="203" t="s">
        <v>247</v>
      </c>
      <c r="I83" s="175" t="s">
        <v>196</v>
      </c>
      <c r="J83" s="136" t="s">
        <v>153</v>
      </c>
      <c r="K83" s="137"/>
      <c r="L83" s="139" t="s">
        <v>196</v>
      </c>
      <c r="M83" s="136" t="s">
        <v>161</v>
      </c>
      <c r="N83" s="212"/>
      <c r="O83" s="212"/>
      <c r="P83" s="212"/>
      <c r="Q83" s="212"/>
      <c r="R83" s="212"/>
      <c r="S83" s="212"/>
      <c r="T83" s="212"/>
      <c r="U83" s="212"/>
      <c r="V83" s="212"/>
      <c r="W83" s="212"/>
      <c r="X83" s="178"/>
      <c r="Y83" s="134"/>
      <c r="Z83" s="95"/>
      <c r="AA83" s="95"/>
      <c r="AB83" s="96"/>
      <c r="AC83" s="394"/>
      <c r="AD83" s="395"/>
      <c r="AE83" s="395"/>
      <c r="AF83" s="396"/>
      <c r="AI83" s="109" t="str">
        <f>"25:field198:" &amp; IF(I83="■",1,IF(L83="■",2,0))</f>
        <v>25:field198:0</v>
      </c>
    </row>
    <row r="84" spans="1:36" ht="18.75" customHeight="1" x14ac:dyDescent="0.15">
      <c r="A84" s="97"/>
      <c r="B84" s="119"/>
      <c r="C84" s="99"/>
      <c r="D84" s="100"/>
      <c r="E84" s="101"/>
      <c r="F84" s="102"/>
      <c r="G84" s="101"/>
      <c r="H84" s="203" t="s">
        <v>119</v>
      </c>
      <c r="I84" s="175" t="s">
        <v>196</v>
      </c>
      <c r="J84" s="136" t="s">
        <v>153</v>
      </c>
      <c r="K84" s="137"/>
      <c r="L84" s="139" t="s">
        <v>196</v>
      </c>
      <c r="M84" s="136" t="s">
        <v>161</v>
      </c>
      <c r="N84" s="212"/>
      <c r="O84" s="212"/>
      <c r="P84" s="212"/>
      <c r="Q84" s="212"/>
      <c r="R84" s="212"/>
      <c r="S84" s="212"/>
      <c r="T84" s="212"/>
      <c r="U84" s="212"/>
      <c r="V84" s="212"/>
      <c r="W84" s="212"/>
      <c r="X84" s="178"/>
      <c r="Y84" s="134"/>
      <c r="Z84" s="95"/>
      <c r="AA84" s="95"/>
      <c r="AB84" s="96"/>
      <c r="AC84" s="394"/>
      <c r="AD84" s="395"/>
      <c r="AE84" s="395"/>
      <c r="AF84" s="396"/>
      <c r="AI84" s="109" t="str">
        <f>"25:field199:" &amp; IF(I84="■",1,IF(L84="■",2,0))</f>
        <v>25:field199:0</v>
      </c>
    </row>
    <row r="85" spans="1:36" ht="19.5" customHeight="1" x14ac:dyDescent="0.15">
      <c r="A85" s="97"/>
      <c r="B85" s="119"/>
      <c r="C85" s="99"/>
      <c r="D85" s="100"/>
      <c r="E85" s="101"/>
      <c r="F85" s="102"/>
      <c r="G85" s="103"/>
      <c r="H85" s="104" t="s">
        <v>217</v>
      </c>
      <c r="I85" s="175" t="s">
        <v>196</v>
      </c>
      <c r="J85" s="136" t="s">
        <v>153</v>
      </c>
      <c r="K85" s="136"/>
      <c r="L85" s="139" t="s">
        <v>196</v>
      </c>
      <c r="M85" s="136" t="s">
        <v>161</v>
      </c>
      <c r="N85" s="136"/>
      <c r="O85" s="141"/>
      <c r="P85" s="136"/>
      <c r="Q85" s="141"/>
      <c r="R85" s="141"/>
      <c r="S85" s="141"/>
      <c r="T85" s="141"/>
      <c r="U85" s="141"/>
      <c r="V85" s="141"/>
      <c r="W85" s="141"/>
      <c r="X85" s="142"/>
      <c r="Y85" s="95"/>
      <c r="Z85" s="95"/>
      <c r="AA85" s="95"/>
      <c r="AB85" s="96"/>
      <c r="AC85" s="394"/>
      <c r="AD85" s="395"/>
      <c r="AE85" s="395"/>
      <c r="AF85" s="396"/>
      <c r="AI85" s="109" t="str">
        <f>"25:field224:" &amp; IF(I85="■",1,IF(L85="■",2,0))</f>
        <v>25:field224:0</v>
      </c>
    </row>
    <row r="86" spans="1:36" ht="18.75" customHeight="1" x14ac:dyDescent="0.15">
      <c r="A86" s="97"/>
      <c r="B86" s="119"/>
      <c r="C86" s="99"/>
      <c r="D86" s="100"/>
      <c r="E86" s="101"/>
      <c r="F86" s="102"/>
      <c r="G86" s="101"/>
      <c r="H86" s="203" t="s">
        <v>99</v>
      </c>
      <c r="I86" s="175" t="s">
        <v>196</v>
      </c>
      <c r="J86" s="136" t="s">
        <v>153</v>
      </c>
      <c r="K86" s="137"/>
      <c r="L86" s="139" t="s">
        <v>196</v>
      </c>
      <c r="M86" s="136" t="s">
        <v>161</v>
      </c>
      <c r="N86" s="212"/>
      <c r="O86" s="141"/>
      <c r="P86" s="141"/>
      <c r="Q86" s="141"/>
      <c r="R86" s="141"/>
      <c r="S86" s="141"/>
      <c r="T86" s="141"/>
      <c r="U86" s="141"/>
      <c r="V86" s="141"/>
      <c r="W86" s="141"/>
      <c r="X86" s="142"/>
      <c r="Y86" s="134"/>
      <c r="Z86" s="95"/>
      <c r="AA86" s="95"/>
      <c r="AB86" s="96"/>
      <c r="AC86" s="394"/>
      <c r="AD86" s="395"/>
      <c r="AE86" s="395"/>
      <c r="AF86" s="396"/>
      <c r="AI86" s="109" t="str">
        <f>"25:ryouyoushoku_code:" &amp; IF(I86="■",1,IF(L86="■",2,0))</f>
        <v>25:ryouyoushoku_code:0</v>
      </c>
    </row>
    <row r="87" spans="1:36" ht="18.75" customHeight="1" x14ac:dyDescent="0.15">
      <c r="A87" s="97"/>
      <c r="B87" s="119"/>
      <c r="C87" s="99"/>
      <c r="D87" s="100"/>
      <c r="E87" s="101"/>
      <c r="F87" s="102"/>
      <c r="G87" s="101"/>
      <c r="H87" s="203" t="s">
        <v>122</v>
      </c>
      <c r="I87" s="175" t="s">
        <v>196</v>
      </c>
      <c r="J87" s="136" t="s">
        <v>153</v>
      </c>
      <c r="K87" s="136"/>
      <c r="L87" s="139" t="s">
        <v>196</v>
      </c>
      <c r="M87" s="136" t="s">
        <v>154</v>
      </c>
      <c r="N87" s="136"/>
      <c r="O87" s="139" t="s">
        <v>196</v>
      </c>
      <c r="P87" s="136" t="s">
        <v>155</v>
      </c>
      <c r="Q87" s="141"/>
      <c r="R87" s="141"/>
      <c r="S87" s="141"/>
      <c r="T87" s="141"/>
      <c r="U87" s="141"/>
      <c r="V87" s="141"/>
      <c r="W87" s="141"/>
      <c r="X87" s="142"/>
      <c r="Y87" s="134"/>
      <c r="Z87" s="95"/>
      <c r="AA87" s="95"/>
      <c r="AB87" s="96"/>
      <c r="AC87" s="394"/>
      <c r="AD87" s="395"/>
      <c r="AE87" s="395"/>
      <c r="AF87" s="396"/>
      <c r="AI87" s="109" t="str">
        <f>"25:ninti_senmoncare_code:" &amp; IF(I87="■",1,IF(O87="■",3,IF(L87="■",2,0)))</f>
        <v>25:ninti_senmoncare_code:0</v>
      </c>
    </row>
    <row r="88" spans="1:36" ht="18.75" customHeight="1" x14ac:dyDescent="0.15">
      <c r="A88" s="97"/>
      <c r="B88" s="119"/>
      <c r="C88" s="99"/>
      <c r="D88" s="100"/>
      <c r="E88" s="101"/>
      <c r="F88" s="102"/>
      <c r="G88" s="101"/>
      <c r="H88" s="203" t="s">
        <v>100</v>
      </c>
      <c r="I88" s="175" t="s">
        <v>196</v>
      </c>
      <c r="J88" s="136" t="s">
        <v>185</v>
      </c>
      <c r="K88" s="136"/>
      <c r="L88" s="138"/>
      <c r="M88" s="138"/>
      <c r="N88" s="139" t="s">
        <v>196</v>
      </c>
      <c r="O88" s="136" t="s">
        <v>186</v>
      </c>
      <c r="P88" s="141"/>
      <c r="Q88" s="141"/>
      <c r="R88" s="141"/>
      <c r="S88" s="139" t="s">
        <v>196</v>
      </c>
      <c r="T88" s="136" t="s">
        <v>187</v>
      </c>
      <c r="U88" s="141"/>
      <c r="V88" s="141"/>
      <c r="W88" s="141"/>
      <c r="X88" s="142"/>
      <c r="Y88" s="134"/>
      <c r="Z88" s="95"/>
      <c r="AA88" s="95"/>
      <c r="AB88" s="96"/>
      <c r="AC88" s="394"/>
      <c r="AD88" s="395"/>
      <c r="AE88" s="395"/>
      <c r="AF88" s="396"/>
      <c r="AI88" s="109" t="str">
        <f>"25:"&amp;IF(AND(I88="□",N88="□",S88="□"),"koriha_gengo_code:0:riha_seisin_code:0:koriha_other_code:0",IF(I88="■","koriha_gengo_code:2","koriha_gengo_code:1")
&amp;IF(N88="■",":riha_seisin_code:2",":riha_seisin_code:1")
&amp;IF(S88="■",":koriha_other_code:2",":koriha_other_code:1"))</f>
        <v>25:koriha_gengo_code:0:riha_seisin_code:0:koriha_other_code:0</v>
      </c>
    </row>
    <row r="89" spans="1:36" ht="18.75" customHeight="1" x14ac:dyDescent="0.15">
      <c r="A89" s="97"/>
      <c r="B89" s="119"/>
      <c r="C89" s="99"/>
      <c r="D89" s="100"/>
      <c r="E89" s="101"/>
      <c r="F89" s="102"/>
      <c r="G89" s="101"/>
      <c r="H89" s="213" t="s">
        <v>224</v>
      </c>
      <c r="I89" s="175" t="s">
        <v>196</v>
      </c>
      <c r="J89" s="136" t="s">
        <v>153</v>
      </c>
      <c r="K89" s="136"/>
      <c r="L89" s="139" t="s">
        <v>196</v>
      </c>
      <c r="M89" s="136" t="s">
        <v>154</v>
      </c>
      <c r="N89" s="136"/>
      <c r="O89" s="139" t="s">
        <v>196</v>
      </c>
      <c r="P89" s="136" t="s">
        <v>155</v>
      </c>
      <c r="Q89" s="141"/>
      <c r="R89" s="141"/>
      <c r="S89" s="141"/>
      <c r="T89" s="141"/>
      <c r="U89" s="214"/>
      <c r="V89" s="214"/>
      <c r="W89" s="214"/>
      <c r="X89" s="215"/>
      <c r="Y89" s="134"/>
      <c r="Z89" s="95"/>
      <c r="AA89" s="95"/>
      <c r="AB89" s="96"/>
      <c r="AC89" s="394"/>
      <c r="AD89" s="395"/>
      <c r="AE89" s="395"/>
      <c r="AF89" s="396"/>
      <c r="AI89" s="109" t="str">
        <f>"25:field225:" &amp; IF(I89="■",1,IF(L89="■",2,IF(O89="■",3,0)))</f>
        <v>25:field225:0</v>
      </c>
    </row>
    <row r="90" spans="1:36" ht="18.75" customHeight="1" x14ac:dyDescent="0.15">
      <c r="A90" s="97"/>
      <c r="B90" s="119"/>
      <c r="C90" s="99"/>
      <c r="D90" s="100"/>
      <c r="E90" s="101"/>
      <c r="F90" s="102"/>
      <c r="G90" s="101"/>
      <c r="H90" s="203" t="s">
        <v>103</v>
      </c>
      <c r="I90" s="175" t="s">
        <v>196</v>
      </c>
      <c r="J90" s="136" t="s">
        <v>153</v>
      </c>
      <c r="K90" s="136"/>
      <c r="L90" s="139" t="s">
        <v>196</v>
      </c>
      <c r="M90" s="136" t="s">
        <v>157</v>
      </c>
      <c r="N90" s="136"/>
      <c r="O90" s="139" t="s">
        <v>196</v>
      </c>
      <c r="P90" s="136" t="s">
        <v>158</v>
      </c>
      <c r="Q90" s="212"/>
      <c r="R90" s="139" t="s">
        <v>196</v>
      </c>
      <c r="S90" s="136" t="s">
        <v>167</v>
      </c>
      <c r="T90" s="136"/>
      <c r="U90" s="136"/>
      <c r="V90" s="136"/>
      <c r="W90" s="136"/>
      <c r="X90" s="144"/>
      <c r="Y90" s="134"/>
      <c r="Z90" s="95"/>
      <c r="AA90" s="95"/>
      <c r="AB90" s="96"/>
      <c r="AC90" s="394"/>
      <c r="AD90" s="395"/>
      <c r="AE90" s="395"/>
      <c r="AF90" s="396"/>
      <c r="AI90" s="109" t="str">
        <f>"25:serteikyo_kyoka_code:" &amp; IF(I90="■",1,IF(L90="■",6,IF(O90="■",5,IF(R90="■",7,0))))</f>
        <v>25:serteikyo_kyoka_code:0</v>
      </c>
    </row>
    <row r="91" spans="1:36" ht="18.75" customHeight="1" x14ac:dyDescent="0.15">
      <c r="A91" s="97"/>
      <c r="B91" s="119"/>
      <c r="C91" s="99"/>
      <c r="D91" s="100"/>
      <c r="E91" s="101"/>
      <c r="F91" s="102"/>
      <c r="G91" s="101"/>
      <c r="H91" s="351" t="s">
        <v>238</v>
      </c>
      <c r="I91" s="390" t="s">
        <v>196</v>
      </c>
      <c r="J91" s="389" t="s">
        <v>153</v>
      </c>
      <c r="K91" s="389"/>
      <c r="L91" s="390" t="s">
        <v>196</v>
      </c>
      <c r="M91" s="389" t="s">
        <v>161</v>
      </c>
      <c r="N91" s="389"/>
      <c r="O91" s="147"/>
      <c r="P91" s="147"/>
      <c r="Q91" s="147"/>
      <c r="R91" s="147"/>
      <c r="S91" s="147"/>
      <c r="T91" s="147"/>
      <c r="U91" s="147"/>
      <c r="V91" s="147"/>
      <c r="W91" s="147"/>
      <c r="X91" s="151"/>
      <c r="Y91" s="134"/>
      <c r="Z91" s="95"/>
      <c r="AA91" s="95"/>
      <c r="AB91" s="96"/>
      <c r="AC91" s="394"/>
      <c r="AD91" s="395"/>
      <c r="AE91" s="395"/>
      <c r="AF91" s="396"/>
      <c r="AI91" s="109" t="str">
        <f>"25:field221:" &amp; IF(I91="■",1,IF(L91="■",2,0))</f>
        <v>25:field221:0</v>
      </c>
    </row>
    <row r="92" spans="1:36" ht="18.75" customHeight="1" x14ac:dyDescent="0.15">
      <c r="A92" s="97"/>
      <c r="B92" s="119"/>
      <c r="C92" s="99"/>
      <c r="D92" s="100"/>
      <c r="E92" s="101"/>
      <c r="F92" s="102"/>
      <c r="G92" s="101"/>
      <c r="H92" s="352"/>
      <c r="I92" s="390"/>
      <c r="J92" s="389"/>
      <c r="K92" s="389"/>
      <c r="L92" s="390"/>
      <c r="M92" s="389"/>
      <c r="N92" s="389"/>
      <c r="O92" s="105"/>
      <c r="P92" s="105"/>
      <c r="Q92" s="105"/>
      <c r="R92" s="105"/>
      <c r="S92" s="105"/>
      <c r="T92" s="105"/>
      <c r="U92" s="105"/>
      <c r="V92" s="105"/>
      <c r="W92" s="105"/>
      <c r="X92" s="149"/>
      <c r="Y92" s="134"/>
      <c r="Z92" s="95"/>
      <c r="AA92" s="95"/>
      <c r="AB92" s="96"/>
      <c r="AC92" s="394"/>
      <c r="AD92" s="395"/>
      <c r="AE92" s="395"/>
      <c r="AF92" s="396"/>
    </row>
    <row r="93" spans="1:36" ht="18.75" customHeight="1" x14ac:dyDescent="0.15">
      <c r="A93" s="156"/>
      <c r="B93" s="119"/>
      <c r="C93" s="158"/>
      <c r="D93" s="159"/>
      <c r="E93" s="160"/>
      <c r="F93" s="161"/>
      <c r="G93" s="162"/>
      <c r="H93" s="85" t="s">
        <v>234</v>
      </c>
      <c r="I93" s="163" t="s">
        <v>196</v>
      </c>
      <c r="J93" s="86" t="s">
        <v>153</v>
      </c>
      <c r="K93" s="86"/>
      <c r="L93" s="164" t="s">
        <v>196</v>
      </c>
      <c r="M93" s="86" t="s">
        <v>218</v>
      </c>
      <c r="N93" s="87"/>
      <c r="O93" s="164" t="s">
        <v>196</v>
      </c>
      <c r="P93" s="89" t="s">
        <v>219</v>
      </c>
      <c r="Q93" s="88"/>
      <c r="R93" s="164" t="s">
        <v>196</v>
      </c>
      <c r="S93" s="86" t="s">
        <v>220</v>
      </c>
      <c r="T93" s="88"/>
      <c r="U93" s="164" t="s">
        <v>196</v>
      </c>
      <c r="V93" s="86" t="s">
        <v>221</v>
      </c>
      <c r="W93" s="90"/>
      <c r="X93" s="91"/>
      <c r="Y93" s="165"/>
      <c r="Z93" s="165"/>
      <c r="AA93" s="165"/>
      <c r="AB93" s="166"/>
      <c r="AC93" s="397"/>
      <c r="AD93" s="398"/>
      <c r="AE93" s="398"/>
      <c r="AF93" s="399"/>
      <c r="AG93" s="109"/>
      <c r="AH93" s="109"/>
      <c r="AI93" s="109" t="str">
        <f>"25:shoguukaizen_code:"&amp;IF(I93="■",1,IF(L93="■",7,IF(O93="■",8,IF(R93="■",9,IF(U93="■","A",0)))))</f>
        <v>25:shoguukaizen_code:0</v>
      </c>
    </row>
    <row r="94" spans="1:36" ht="18.75" customHeight="1" x14ac:dyDescent="0.15">
      <c r="A94" s="122"/>
      <c r="B94" s="123"/>
      <c r="C94" s="124"/>
      <c r="D94" s="125"/>
      <c r="E94" s="117"/>
      <c r="F94" s="126"/>
      <c r="G94" s="117"/>
      <c r="H94" s="201" t="s">
        <v>92</v>
      </c>
      <c r="I94" s="225" t="s">
        <v>196</v>
      </c>
      <c r="J94" s="168" t="s">
        <v>179</v>
      </c>
      <c r="K94" s="169"/>
      <c r="L94" s="170"/>
      <c r="M94" s="171" t="s">
        <v>196</v>
      </c>
      <c r="N94" s="168" t="s">
        <v>180</v>
      </c>
      <c r="O94" s="195"/>
      <c r="P94" s="169"/>
      <c r="Q94" s="169"/>
      <c r="R94" s="169"/>
      <c r="S94" s="169"/>
      <c r="T94" s="169"/>
      <c r="U94" s="169"/>
      <c r="V94" s="169"/>
      <c r="W94" s="169"/>
      <c r="X94" s="223"/>
      <c r="Y94" s="227" t="s">
        <v>196</v>
      </c>
      <c r="Z94" s="115" t="s">
        <v>152</v>
      </c>
      <c r="AA94" s="115"/>
      <c r="AB94" s="128"/>
      <c r="AC94" s="391"/>
      <c r="AD94" s="392"/>
      <c r="AE94" s="392"/>
      <c r="AF94" s="393"/>
      <c r="AG94" s="109" t="str">
        <f>"ser_code = '" &amp; IF(A103="■",25,"") &amp; "'"</f>
        <v>ser_code = ''</v>
      </c>
      <c r="AH94" s="109"/>
      <c r="AI94" s="109" t="str">
        <f>"25:yakan_kinmu_code:" &amp; IF(I94="■",1,IF(M94="■",6,0))</f>
        <v>25:yakan_kinmu_code:0</v>
      </c>
      <c r="AJ94" s="109" t="str">
        <f>"25:field203:" &amp; IF(Y94="■",1,IF(Y95="■",2,0))</f>
        <v>25:field203:0</v>
      </c>
    </row>
    <row r="95" spans="1:36" ht="18.75" customHeight="1" x14ac:dyDescent="0.15">
      <c r="A95" s="97"/>
      <c r="B95" s="119"/>
      <c r="C95" s="99"/>
      <c r="D95" s="100"/>
      <c r="E95" s="101"/>
      <c r="F95" s="102"/>
      <c r="G95" s="101"/>
      <c r="H95" s="349" t="s">
        <v>89</v>
      </c>
      <c r="I95" s="175" t="s">
        <v>196</v>
      </c>
      <c r="J95" s="94" t="s">
        <v>153</v>
      </c>
      <c r="K95" s="94"/>
      <c r="L95" s="190"/>
      <c r="M95" s="197" t="s">
        <v>196</v>
      </c>
      <c r="N95" s="94" t="s">
        <v>168</v>
      </c>
      <c r="O95" s="94"/>
      <c r="P95" s="190"/>
      <c r="Q95" s="197" t="s">
        <v>196</v>
      </c>
      <c r="R95" s="146" t="s">
        <v>169</v>
      </c>
      <c r="U95" s="197" t="s">
        <v>196</v>
      </c>
      <c r="V95" s="146" t="s">
        <v>170</v>
      </c>
      <c r="X95" s="153"/>
      <c r="Y95" s="197" t="s">
        <v>196</v>
      </c>
      <c r="Z95" s="94" t="s">
        <v>156</v>
      </c>
      <c r="AA95" s="95"/>
      <c r="AB95" s="96"/>
      <c r="AC95" s="394"/>
      <c r="AD95" s="395"/>
      <c r="AE95" s="395"/>
      <c r="AF95" s="396"/>
      <c r="AG95" s="109" t="str">
        <f>"25:sisetukbn_code:" &amp; IF(D103="■",6,IF(D104="■",8,0))</f>
        <v>25:sisetukbn_code:0</v>
      </c>
      <c r="AH95" s="109"/>
      <c r="AI95" s="109" t="str">
        <f>"25:"&amp;IF(AND(I95="□",M95="□",Q95="□",U95="□",I96="□",M96="□",Q96="□"),"ketu_doctor_code:0",IF(I95="■","ketu_doctor_code:1:ketu_kangos_code:1:ketu_kshoku_code:1:ketu_rryoho_code:1:ketu_sryoho_code:1:ketu_gengo_code:1",
IF(M95="■","ketu_doctor_code:2","ketu_doctor_code:1")
&amp;IF(Q95="■",":ketu_kangos_code:2",":ketu_kangos_code:1")
&amp;IF(U95="■",":ketu_kshoku_code:2",":ketu_kshoku_code:1")
&amp;IF(I96="■",":ketu_rryoho_code:2",":ketu_rryoho_code:1")
&amp;IF(M96="■",":ketu_sryoho_code:2",":ketu_sryoho_code:1")
&amp;IF(Q96="■",":ketu_gengo_code:2",":ketu_gengo_code:1")))</f>
        <v>25:ketu_doctor_code:0</v>
      </c>
      <c r="AJ95" s="109"/>
    </row>
    <row r="96" spans="1:36" ht="18.75" customHeight="1" x14ac:dyDescent="0.15">
      <c r="A96" s="97"/>
      <c r="B96" s="119"/>
      <c r="C96" s="99"/>
      <c r="D96" s="100"/>
      <c r="E96" s="101"/>
      <c r="F96" s="102"/>
      <c r="G96" s="101"/>
      <c r="H96" s="350"/>
      <c r="I96" s="196" t="s">
        <v>196</v>
      </c>
      <c r="J96" s="105" t="s">
        <v>171</v>
      </c>
      <c r="K96" s="148"/>
      <c r="L96" s="148"/>
      <c r="M96" s="191" t="s">
        <v>196</v>
      </c>
      <c r="N96" s="105" t="s">
        <v>172</v>
      </c>
      <c r="O96" s="148"/>
      <c r="P96" s="148"/>
      <c r="Q96" s="191" t="s">
        <v>196</v>
      </c>
      <c r="R96" s="105" t="s">
        <v>173</v>
      </c>
      <c r="S96" s="148"/>
      <c r="T96" s="148"/>
      <c r="U96" s="148"/>
      <c r="V96" s="148"/>
      <c r="W96" s="148"/>
      <c r="X96" s="229"/>
      <c r="Y96" s="134"/>
      <c r="Z96" s="95"/>
      <c r="AA96" s="95"/>
      <c r="AB96" s="96"/>
      <c r="AC96" s="394"/>
      <c r="AD96" s="395"/>
      <c r="AE96" s="395"/>
      <c r="AF96" s="396"/>
      <c r="AG96" s="109"/>
      <c r="AH96" s="109"/>
      <c r="AI96" s="109"/>
      <c r="AJ96" s="109"/>
    </row>
    <row r="97" spans="1:36" ht="18.75" customHeight="1" x14ac:dyDescent="0.15">
      <c r="A97" s="97"/>
      <c r="B97" s="119"/>
      <c r="C97" s="99"/>
      <c r="D97" s="100"/>
      <c r="E97" s="101"/>
      <c r="F97" s="102"/>
      <c r="G97" s="101"/>
      <c r="H97" s="203" t="s">
        <v>93</v>
      </c>
      <c r="I97" s="175" t="s">
        <v>196</v>
      </c>
      <c r="J97" s="136" t="s">
        <v>159</v>
      </c>
      <c r="K97" s="137"/>
      <c r="L97" s="138"/>
      <c r="M97" s="139" t="s">
        <v>196</v>
      </c>
      <c r="N97" s="136" t="s">
        <v>160</v>
      </c>
      <c r="O97" s="141"/>
      <c r="P97" s="137"/>
      <c r="Q97" s="137"/>
      <c r="R97" s="137"/>
      <c r="S97" s="137"/>
      <c r="T97" s="137"/>
      <c r="U97" s="137"/>
      <c r="V97" s="137"/>
      <c r="W97" s="137"/>
      <c r="X97" s="145"/>
      <c r="Y97" s="134"/>
      <c r="Z97" s="95"/>
      <c r="AA97" s="95"/>
      <c r="AB97" s="96"/>
      <c r="AC97" s="394"/>
      <c r="AD97" s="395"/>
      <c r="AE97" s="395"/>
      <c r="AF97" s="396"/>
      <c r="AG97" s="109"/>
      <c r="AH97" s="109"/>
      <c r="AI97" s="109" t="str">
        <f>"25:unitcare_code:" &amp; IF(I97="■",1,IF(M97="■",2,0))</f>
        <v>25:unitcare_code:0</v>
      </c>
      <c r="AJ97" s="109"/>
    </row>
    <row r="98" spans="1:36" s="109" customFormat="1" ht="18.75" customHeight="1" x14ac:dyDescent="0.15">
      <c r="A98" s="97"/>
      <c r="B98" s="119"/>
      <c r="C98" s="210"/>
      <c r="D98" s="211"/>
      <c r="E98" s="101"/>
      <c r="F98" s="102"/>
      <c r="G98" s="103"/>
      <c r="H98" s="203" t="s">
        <v>96</v>
      </c>
      <c r="I98" s="135" t="s">
        <v>196</v>
      </c>
      <c r="J98" s="136" t="s">
        <v>197</v>
      </c>
      <c r="K98" s="137"/>
      <c r="L98" s="138"/>
      <c r="M98" s="139" t="s">
        <v>196</v>
      </c>
      <c r="N98" s="136" t="s">
        <v>198</v>
      </c>
      <c r="O98" s="137"/>
      <c r="P98" s="137"/>
      <c r="Q98" s="137"/>
      <c r="R98" s="137"/>
      <c r="S98" s="137"/>
      <c r="T98" s="137"/>
      <c r="U98" s="137"/>
      <c r="V98" s="137"/>
      <c r="W98" s="137"/>
      <c r="X98" s="145"/>
      <c r="Y98" s="134"/>
      <c r="Z98" s="95"/>
      <c r="AA98" s="95"/>
      <c r="AB98" s="96"/>
      <c r="AC98" s="394"/>
      <c r="AD98" s="395"/>
      <c r="AE98" s="395"/>
      <c r="AF98" s="396"/>
      <c r="AI98" s="109" t="str">
        <f>"25:sintaikousoku_code:" &amp; IF(I98="■",1,IF(M98="■",2,0))</f>
        <v>25:sintaikousoku_code:0</v>
      </c>
    </row>
    <row r="99" spans="1:36" ht="19.5" customHeight="1" x14ac:dyDescent="0.15">
      <c r="A99" s="97"/>
      <c r="B99" s="119"/>
      <c r="C99" s="99"/>
      <c r="D99" s="100"/>
      <c r="E99" s="101"/>
      <c r="F99" s="102"/>
      <c r="G99" s="103"/>
      <c r="H99" s="104" t="s">
        <v>215</v>
      </c>
      <c r="I99" s="175" t="s">
        <v>196</v>
      </c>
      <c r="J99" s="136" t="s">
        <v>197</v>
      </c>
      <c r="K99" s="137"/>
      <c r="L99" s="138"/>
      <c r="M99" s="139" t="s">
        <v>196</v>
      </c>
      <c r="N99" s="136" t="s">
        <v>216</v>
      </c>
      <c r="O99" s="136"/>
      <c r="P99" s="136"/>
      <c r="Q99" s="141"/>
      <c r="R99" s="141"/>
      <c r="S99" s="141"/>
      <c r="T99" s="141"/>
      <c r="U99" s="141"/>
      <c r="V99" s="141"/>
      <c r="W99" s="141"/>
      <c r="X99" s="142"/>
      <c r="Y99" s="95"/>
      <c r="Z99" s="95"/>
      <c r="AA99" s="95"/>
      <c r="AB99" s="96"/>
      <c r="AC99" s="394"/>
      <c r="AD99" s="395"/>
      <c r="AE99" s="395"/>
      <c r="AF99" s="396"/>
      <c r="AI99" s="109" t="str">
        <f>"25:field223:" &amp; IF(I99="■",1,IF(M99="■",2,0))</f>
        <v>25:field223:0</v>
      </c>
    </row>
    <row r="100" spans="1:36" ht="19.5" customHeight="1" x14ac:dyDescent="0.15">
      <c r="A100" s="97"/>
      <c r="B100" s="119"/>
      <c r="C100" s="99"/>
      <c r="D100" s="100"/>
      <c r="E100" s="101"/>
      <c r="F100" s="102"/>
      <c r="G100" s="103"/>
      <c r="H100" s="104" t="s">
        <v>226</v>
      </c>
      <c r="I100" s="175" t="s">
        <v>196</v>
      </c>
      <c r="J100" s="105" t="s">
        <v>197</v>
      </c>
      <c r="K100" s="154"/>
      <c r="L100" s="106"/>
      <c r="M100" s="191" t="s">
        <v>196</v>
      </c>
      <c r="N100" s="105" t="s">
        <v>216</v>
      </c>
      <c r="O100" s="105"/>
      <c r="P100" s="105"/>
      <c r="Q100" s="132"/>
      <c r="R100" s="132"/>
      <c r="S100" s="132"/>
      <c r="T100" s="132"/>
      <c r="U100" s="132"/>
      <c r="V100" s="132"/>
      <c r="W100" s="132"/>
      <c r="X100" s="133"/>
      <c r="Y100" s="95"/>
      <c r="Z100" s="94"/>
      <c r="AA100" s="95"/>
      <c r="AB100" s="96"/>
      <c r="AC100" s="394"/>
      <c r="AD100" s="395"/>
      <c r="AE100" s="395"/>
      <c r="AF100" s="396"/>
      <c r="AI100" s="109" t="str">
        <f>"25:field232:" &amp; IF(I100="■",1,IF(M100="■",2,0))</f>
        <v>25:field232:0</v>
      </c>
    </row>
    <row r="101" spans="1:36" ht="18.75" customHeight="1" x14ac:dyDescent="0.15">
      <c r="A101" s="97"/>
      <c r="B101" s="119"/>
      <c r="C101" s="99"/>
      <c r="D101" s="100"/>
      <c r="E101" s="101"/>
      <c r="F101" s="102"/>
      <c r="G101" s="101"/>
      <c r="H101" s="203" t="s">
        <v>98</v>
      </c>
      <c r="I101" s="175" t="s">
        <v>196</v>
      </c>
      <c r="J101" s="136" t="s">
        <v>153</v>
      </c>
      <c r="K101" s="137"/>
      <c r="L101" s="139" t="s">
        <v>196</v>
      </c>
      <c r="M101" s="136" t="s">
        <v>161</v>
      </c>
      <c r="N101" s="212"/>
      <c r="O101" s="141"/>
      <c r="P101" s="141"/>
      <c r="Q101" s="141"/>
      <c r="R101" s="141"/>
      <c r="S101" s="141"/>
      <c r="T101" s="141"/>
      <c r="U101" s="141"/>
      <c r="V101" s="141"/>
      <c r="W101" s="141"/>
      <c r="X101" s="142"/>
      <c r="Y101" s="134"/>
      <c r="Z101" s="95"/>
      <c r="AA101" s="95"/>
      <c r="AB101" s="96"/>
      <c r="AC101" s="394"/>
      <c r="AD101" s="395"/>
      <c r="AE101" s="395"/>
      <c r="AF101" s="396"/>
      <c r="AI101" s="109" t="str">
        <f>"25:yakinhaiti_code:" &amp; IF(I101="■",1,IF(L101="■",2,0))</f>
        <v>25:yakinhaiti_code:0</v>
      </c>
    </row>
    <row r="102" spans="1:36" ht="18.75" customHeight="1" x14ac:dyDescent="0.15">
      <c r="A102" s="97"/>
      <c r="B102" s="119"/>
      <c r="C102" s="99"/>
      <c r="D102" s="100"/>
      <c r="E102" s="101"/>
      <c r="F102" s="102"/>
      <c r="G102" s="101"/>
      <c r="H102" s="203" t="s">
        <v>244</v>
      </c>
      <c r="I102" s="175" t="s">
        <v>196</v>
      </c>
      <c r="J102" s="136" t="s">
        <v>153</v>
      </c>
      <c r="K102" s="137"/>
      <c r="L102" s="139" t="s">
        <v>196</v>
      </c>
      <c r="M102" s="136" t="s">
        <v>161</v>
      </c>
      <c r="N102" s="212"/>
      <c r="O102" s="141"/>
      <c r="P102" s="141"/>
      <c r="Q102" s="141"/>
      <c r="R102" s="141"/>
      <c r="S102" s="141"/>
      <c r="T102" s="141"/>
      <c r="U102" s="141"/>
      <c r="V102" s="141"/>
      <c r="W102" s="141"/>
      <c r="X102" s="142"/>
      <c r="Y102" s="134"/>
      <c r="Z102" s="95"/>
      <c r="AA102" s="95"/>
      <c r="AB102" s="96"/>
      <c r="AC102" s="394"/>
      <c r="AD102" s="395"/>
      <c r="AE102" s="395"/>
      <c r="AF102" s="396"/>
      <c r="AI102" s="109" t="str">
        <f>"25:jyakuninti_uke_code:" &amp; IF(I102="■",1,IF(L102="■",2,0))</f>
        <v>25:jyakuninti_uke_code:0</v>
      </c>
    </row>
    <row r="103" spans="1:36" ht="18.75" customHeight="1" x14ac:dyDescent="0.15">
      <c r="A103" s="196" t="s">
        <v>196</v>
      </c>
      <c r="B103" s="119">
        <v>25</v>
      </c>
      <c r="C103" s="99" t="s">
        <v>246</v>
      </c>
      <c r="D103" s="196" t="s">
        <v>196</v>
      </c>
      <c r="E103" s="101" t="s">
        <v>191</v>
      </c>
      <c r="F103" s="102"/>
      <c r="G103" s="101"/>
      <c r="H103" s="203" t="s">
        <v>90</v>
      </c>
      <c r="I103" s="175" t="s">
        <v>196</v>
      </c>
      <c r="J103" s="136" t="s">
        <v>159</v>
      </c>
      <c r="K103" s="137"/>
      <c r="L103" s="138"/>
      <c r="M103" s="139" t="s">
        <v>196</v>
      </c>
      <c r="N103" s="136" t="s">
        <v>160</v>
      </c>
      <c r="O103" s="141"/>
      <c r="P103" s="141"/>
      <c r="Q103" s="141"/>
      <c r="R103" s="141"/>
      <c r="S103" s="141"/>
      <c r="T103" s="141"/>
      <c r="U103" s="141"/>
      <c r="V103" s="141"/>
      <c r="W103" s="141"/>
      <c r="X103" s="142"/>
      <c r="Y103" s="134"/>
      <c r="Z103" s="95"/>
      <c r="AA103" s="95"/>
      <c r="AB103" s="96"/>
      <c r="AC103" s="394"/>
      <c r="AD103" s="395"/>
      <c r="AE103" s="395"/>
      <c r="AF103" s="396"/>
      <c r="AI103" s="109" t="str">
        <f>"25:sougei_code:" &amp; IF(I103="■",1,IF(M103="■",2,0))</f>
        <v>25:sougei_code:0</v>
      </c>
    </row>
    <row r="104" spans="1:36" ht="18.75" customHeight="1" x14ac:dyDescent="0.15">
      <c r="A104" s="97"/>
      <c r="B104" s="119"/>
      <c r="C104" s="99"/>
      <c r="D104" s="196" t="s">
        <v>196</v>
      </c>
      <c r="E104" s="101" t="s">
        <v>193</v>
      </c>
      <c r="F104" s="102"/>
      <c r="G104" s="101"/>
      <c r="H104" s="203" t="s">
        <v>101</v>
      </c>
      <c r="I104" s="175" t="s">
        <v>196</v>
      </c>
      <c r="J104" s="136" t="s">
        <v>188</v>
      </c>
      <c r="K104" s="141"/>
      <c r="L104" s="141"/>
      <c r="M104" s="141"/>
      <c r="N104" s="141"/>
      <c r="O104" s="141"/>
      <c r="P104" s="139" t="s">
        <v>196</v>
      </c>
      <c r="Q104" s="136" t="s">
        <v>189</v>
      </c>
      <c r="R104" s="141"/>
      <c r="S104" s="141"/>
      <c r="T104" s="141"/>
      <c r="U104" s="141"/>
      <c r="V104" s="141"/>
      <c r="W104" s="141"/>
      <c r="X104" s="142"/>
      <c r="Y104" s="134"/>
      <c r="Z104" s="95"/>
      <c r="AA104" s="95"/>
      <c r="AB104" s="96"/>
      <c r="AC104" s="394"/>
      <c r="AD104" s="395"/>
      <c r="AE104" s="395"/>
      <c r="AF104" s="396"/>
      <c r="AI104" s="109" t="str">
        <f>"25:" &amp; IF(AND(I104="□",P104="□"),"tokusin_jyusho_code:0:tokusin_yakuzai_code:0",IF(I104="■","tokusin_jyusho_code:2","tokusin_jyusho_code:1")
&amp;IF(P104="■",":tokusin_yakuzai_code:2",":tokusin_yakuzai_code:1"))</f>
        <v>25:tokusin_jyusho_code:0:tokusin_yakuzai_code:0</v>
      </c>
    </row>
    <row r="105" spans="1:36" ht="18.75" customHeight="1" x14ac:dyDescent="0.15">
      <c r="A105" s="97"/>
      <c r="B105" s="119"/>
      <c r="C105" s="99"/>
      <c r="D105" s="100"/>
      <c r="E105" s="101"/>
      <c r="F105" s="102"/>
      <c r="G105" s="101"/>
      <c r="H105" s="203" t="s">
        <v>247</v>
      </c>
      <c r="I105" s="175" t="s">
        <v>196</v>
      </c>
      <c r="J105" s="136" t="s">
        <v>153</v>
      </c>
      <c r="K105" s="137"/>
      <c r="L105" s="139" t="s">
        <v>196</v>
      </c>
      <c r="M105" s="136" t="s">
        <v>161</v>
      </c>
      <c r="N105" s="212"/>
      <c r="O105" s="212"/>
      <c r="P105" s="212"/>
      <c r="Q105" s="212"/>
      <c r="R105" s="212"/>
      <c r="S105" s="212"/>
      <c r="T105" s="212"/>
      <c r="U105" s="212"/>
      <c r="V105" s="212"/>
      <c r="W105" s="212"/>
      <c r="X105" s="178"/>
      <c r="Y105" s="134"/>
      <c r="Z105" s="95"/>
      <c r="AA105" s="95"/>
      <c r="AB105" s="96"/>
      <c r="AC105" s="394"/>
      <c r="AD105" s="395"/>
      <c r="AE105" s="395"/>
      <c r="AF105" s="396"/>
      <c r="AI105" s="109" t="str">
        <f>"25:field198:" &amp; IF(I105="■",1,IF(L105="■",2,0))</f>
        <v>25:field198:0</v>
      </c>
    </row>
    <row r="106" spans="1:36" ht="18.75" customHeight="1" x14ac:dyDescent="0.15">
      <c r="A106" s="97"/>
      <c r="B106" s="119"/>
      <c r="C106" s="99"/>
      <c r="D106" s="100"/>
      <c r="E106" s="101"/>
      <c r="F106" s="102"/>
      <c r="G106" s="101"/>
      <c r="H106" s="203" t="s">
        <v>119</v>
      </c>
      <c r="I106" s="175" t="s">
        <v>196</v>
      </c>
      <c r="J106" s="136" t="s">
        <v>153</v>
      </c>
      <c r="K106" s="137"/>
      <c r="L106" s="139" t="s">
        <v>196</v>
      </c>
      <c r="M106" s="136" t="s">
        <v>161</v>
      </c>
      <c r="N106" s="212"/>
      <c r="O106" s="212"/>
      <c r="P106" s="212"/>
      <c r="Q106" s="212"/>
      <c r="R106" s="212"/>
      <c r="S106" s="212"/>
      <c r="T106" s="212"/>
      <c r="U106" s="212"/>
      <c r="V106" s="212"/>
      <c r="W106" s="212"/>
      <c r="X106" s="178"/>
      <c r="Y106" s="134"/>
      <c r="Z106" s="95"/>
      <c r="AA106" s="95"/>
      <c r="AB106" s="96"/>
      <c r="AC106" s="394"/>
      <c r="AD106" s="395"/>
      <c r="AE106" s="395"/>
      <c r="AF106" s="396"/>
      <c r="AI106" s="109" t="str">
        <f>"25:field199:" &amp; IF(I106="■",1,IF(L106="■",2,0))</f>
        <v>25:field199:0</v>
      </c>
    </row>
    <row r="107" spans="1:36" ht="19.5" customHeight="1" x14ac:dyDescent="0.15">
      <c r="A107" s="97"/>
      <c r="B107" s="119"/>
      <c r="C107" s="99"/>
      <c r="D107" s="100"/>
      <c r="E107" s="101"/>
      <c r="F107" s="102"/>
      <c r="G107" s="103"/>
      <c r="H107" s="104" t="s">
        <v>217</v>
      </c>
      <c r="I107" s="175" t="s">
        <v>196</v>
      </c>
      <c r="J107" s="136" t="s">
        <v>153</v>
      </c>
      <c r="K107" s="136"/>
      <c r="L107" s="139" t="s">
        <v>196</v>
      </c>
      <c r="M107" s="136" t="s">
        <v>161</v>
      </c>
      <c r="N107" s="136"/>
      <c r="O107" s="141"/>
      <c r="P107" s="136"/>
      <c r="Q107" s="141"/>
      <c r="R107" s="141"/>
      <c r="S107" s="141"/>
      <c r="T107" s="141"/>
      <c r="U107" s="141"/>
      <c r="V107" s="141"/>
      <c r="W107" s="141"/>
      <c r="X107" s="142"/>
      <c r="Y107" s="95"/>
      <c r="Z107" s="95"/>
      <c r="AA107" s="95"/>
      <c r="AB107" s="96"/>
      <c r="AC107" s="394"/>
      <c r="AD107" s="395"/>
      <c r="AE107" s="395"/>
      <c r="AF107" s="396"/>
      <c r="AI107" s="109" t="str">
        <f>"25:field224:" &amp; IF(I107="■",1,IF(L107="■",2,0))</f>
        <v>25:field224:0</v>
      </c>
    </row>
    <row r="108" spans="1:36" ht="18.75" customHeight="1" x14ac:dyDescent="0.15">
      <c r="A108" s="97"/>
      <c r="B108" s="119"/>
      <c r="C108" s="99"/>
      <c r="D108" s="100"/>
      <c r="E108" s="101"/>
      <c r="F108" s="102"/>
      <c r="G108" s="101"/>
      <c r="H108" s="203" t="s">
        <v>99</v>
      </c>
      <c r="I108" s="175" t="s">
        <v>196</v>
      </c>
      <c r="J108" s="136" t="s">
        <v>153</v>
      </c>
      <c r="K108" s="137"/>
      <c r="L108" s="139" t="s">
        <v>196</v>
      </c>
      <c r="M108" s="136" t="s">
        <v>161</v>
      </c>
      <c r="N108" s="212"/>
      <c r="O108" s="141"/>
      <c r="P108" s="141"/>
      <c r="Q108" s="141"/>
      <c r="R108" s="141"/>
      <c r="S108" s="141"/>
      <c r="T108" s="141"/>
      <c r="U108" s="141"/>
      <c r="V108" s="141"/>
      <c r="W108" s="141"/>
      <c r="X108" s="142"/>
      <c r="Y108" s="134"/>
      <c r="Z108" s="95"/>
      <c r="AA108" s="95"/>
      <c r="AB108" s="96"/>
      <c r="AC108" s="394"/>
      <c r="AD108" s="395"/>
      <c r="AE108" s="395"/>
      <c r="AF108" s="396"/>
      <c r="AI108" s="109" t="str">
        <f>"25:ryouyoushoku_code:" &amp; IF(I108="■",1,IF(L108="■",2,0))</f>
        <v>25:ryouyoushoku_code:0</v>
      </c>
    </row>
    <row r="109" spans="1:36" ht="18.75" customHeight="1" x14ac:dyDescent="0.15">
      <c r="A109" s="97"/>
      <c r="B109" s="119"/>
      <c r="C109" s="99"/>
      <c r="D109" s="100"/>
      <c r="E109" s="101"/>
      <c r="F109" s="102"/>
      <c r="G109" s="101"/>
      <c r="H109" s="203" t="s">
        <v>122</v>
      </c>
      <c r="I109" s="175" t="s">
        <v>196</v>
      </c>
      <c r="J109" s="136" t="s">
        <v>153</v>
      </c>
      <c r="K109" s="136"/>
      <c r="L109" s="139" t="s">
        <v>196</v>
      </c>
      <c r="M109" s="136" t="s">
        <v>154</v>
      </c>
      <c r="N109" s="136"/>
      <c r="O109" s="139" t="s">
        <v>196</v>
      </c>
      <c r="P109" s="136" t="s">
        <v>155</v>
      </c>
      <c r="Q109" s="141"/>
      <c r="R109" s="141"/>
      <c r="S109" s="141"/>
      <c r="T109" s="141"/>
      <c r="U109" s="141"/>
      <c r="V109" s="141"/>
      <c r="W109" s="141"/>
      <c r="X109" s="142"/>
      <c r="Y109" s="134"/>
      <c r="Z109" s="95"/>
      <c r="AA109" s="95"/>
      <c r="AB109" s="96"/>
      <c r="AC109" s="394"/>
      <c r="AD109" s="395"/>
      <c r="AE109" s="395"/>
      <c r="AF109" s="396"/>
      <c r="AI109" s="109" t="str">
        <f>"25:ninti_senmoncare_code:" &amp; IF(I109="■",1,IF(O109="■",3,IF(L109="■",2,0)))</f>
        <v>25:ninti_senmoncare_code:0</v>
      </c>
    </row>
    <row r="110" spans="1:36" ht="18.75" customHeight="1" x14ac:dyDescent="0.15">
      <c r="A110" s="97"/>
      <c r="B110" s="119"/>
      <c r="C110" s="99"/>
      <c r="D110" s="100"/>
      <c r="E110" s="101"/>
      <c r="F110" s="102"/>
      <c r="G110" s="101"/>
      <c r="H110" s="203" t="s">
        <v>100</v>
      </c>
      <c r="I110" s="175" t="s">
        <v>196</v>
      </c>
      <c r="J110" s="136" t="s">
        <v>185</v>
      </c>
      <c r="K110" s="136"/>
      <c r="L110" s="138"/>
      <c r="M110" s="138"/>
      <c r="N110" s="139" t="s">
        <v>196</v>
      </c>
      <c r="O110" s="136" t="s">
        <v>186</v>
      </c>
      <c r="P110" s="141"/>
      <c r="Q110" s="141"/>
      <c r="R110" s="141"/>
      <c r="S110" s="139" t="s">
        <v>196</v>
      </c>
      <c r="T110" s="136" t="s">
        <v>187</v>
      </c>
      <c r="U110" s="141"/>
      <c r="V110" s="141"/>
      <c r="W110" s="141"/>
      <c r="X110" s="142"/>
      <c r="Y110" s="134"/>
      <c r="Z110" s="95"/>
      <c r="AA110" s="95"/>
      <c r="AB110" s="96"/>
      <c r="AC110" s="394"/>
      <c r="AD110" s="395"/>
      <c r="AE110" s="395"/>
      <c r="AF110" s="396"/>
      <c r="AI110" s="109" t="str">
        <f>"25:"&amp;IF(AND(I110="□",N110="□",S110="□"),"koriha_gengo_code:0:riha_seisin_code:0:koriha_other_code:0",IF(I110="■","koriha_gengo_code:2","koriha_gengo_code:1")
&amp;IF(N110="■",":riha_seisin_code:2",":riha_seisin_code:1")
&amp;IF(S110="■",":koriha_other_code:2",":koriha_other_code:1"))</f>
        <v>25:koriha_gengo_code:0:riha_seisin_code:0:koriha_other_code:0</v>
      </c>
    </row>
    <row r="111" spans="1:36" ht="18.75" customHeight="1" x14ac:dyDescent="0.15">
      <c r="A111" s="97"/>
      <c r="B111" s="119"/>
      <c r="C111" s="99"/>
      <c r="D111" s="100"/>
      <c r="E111" s="101"/>
      <c r="F111" s="102"/>
      <c r="G111" s="101"/>
      <c r="H111" s="213" t="s">
        <v>224</v>
      </c>
      <c r="I111" s="175" t="s">
        <v>196</v>
      </c>
      <c r="J111" s="136" t="s">
        <v>153</v>
      </c>
      <c r="K111" s="136"/>
      <c r="L111" s="139" t="s">
        <v>196</v>
      </c>
      <c r="M111" s="136" t="s">
        <v>154</v>
      </c>
      <c r="N111" s="136"/>
      <c r="O111" s="139" t="s">
        <v>196</v>
      </c>
      <c r="P111" s="136" t="s">
        <v>155</v>
      </c>
      <c r="Q111" s="141"/>
      <c r="R111" s="141"/>
      <c r="S111" s="141"/>
      <c r="T111" s="141"/>
      <c r="U111" s="214"/>
      <c r="V111" s="214"/>
      <c r="W111" s="214"/>
      <c r="X111" s="215"/>
      <c r="Y111" s="134"/>
      <c r="Z111" s="95"/>
      <c r="AA111" s="95"/>
      <c r="AB111" s="96"/>
      <c r="AC111" s="394"/>
      <c r="AD111" s="395"/>
      <c r="AE111" s="395"/>
      <c r="AF111" s="396"/>
      <c r="AI111" s="109" t="str">
        <f>"25:field225:" &amp; IF(I111="■",1,IF(L111="■",2,IF(O111="■",3,0)))</f>
        <v>25:field225:0</v>
      </c>
    </row>
    <row r="112" spans="1:36" ht="18.75" customHeight="1" x14ac:dyDescent="0.15">
      <c r="A112" s="97"/>
      <c r="B112" s="119"/>
      <c r="C112" s="99"/>
      <c r="D112" s="100"/>
      <c r="E112" s="101"/>
      <c r="F112" s="102"/>
      <c r="G112" s="101"/>
      <c r="H112" s="203" t="s">
        <v>103</v>
      </c>
      <c r="I112" s="175" t="s">
        <v>196</v>
      </c>
      <c r="J112" s="136" t="s">
        <v>153</v>
      </c>
      <c r="K112" s="136"/>
      <c r="L112" s="139" t="s">
        <v>196</v>
      </c>
      <c r="M112" s="136" t="s">
        <v>157</v>
      </c>
      <c r="N112" s="136"/>
      <c r="O112" s="139" t="s">
        <v>196</v>
      </c>
      <c r="P112" s="136" t="s">
        <v>158</v>
      </c>
      <c r="Q112" s="212"/>
      <c r="R112" s="139" t="s">
        <v>196</v>
      </c>
      <c r="S112" s="136" t="s">
        <v>167</v>
      </c>
      <c r="T112" s="136"/>
      <c r="U112" s="136"/>
      <c r="V112" s="136"/>
      <c r="W112" s="136"/>
      <c r="X112" s="144"/>
      <c r="Y112" s="134"/>
      <c r="Z112" s="95"/>
      <c r="AA112" s="95"/>
      <c r="AB112" s="96"/>
      <c r="AC112" s="394"/>
      <c r="AD112" s="395"/>
      <c r="AE112" s="395"/>
      <c r="AF112" s="396"/>
      <c r="AI112" s="109" t="str">
        <f>"25:serteikyo_kyoka_code:" &amp; IF(I112="■",1,IF(L112="■",6,IF(O112="■",5,IF(R112="■",7,0))))</f>
        <v>25:serteikyo_kyoka_code:0</v>
      </c>
    </row>
    <row r="113" spans="1:36" ht="18.75" customHeight="1" x14ac:dyDescent="0.15">
      <c r="A113" s="97"/>
      <c r="B113" s="119"/>
      <c r="C113" s="99"/>
      <c r="D113" s="100"/>
      <c r="E113" s="101"/>
      <c r="F113" s="102"/>
      <c r="G113" s="101"/>
      <c r="H113" s="351" t="s">
        <v>238</v>
      </c>
      <c r="I113" s="390" t="s">
        <v>196</v>
      </c>
      <c r="J113" s="389" t="s">
        <v>153</v>
      </c>
      <c r="K113" s="389"/>
      <c r="L113" s="390" t="s">
        <v>196</v>
      </c>
      <c r="M113" s="389" t="s">
        <v>161</v>
      </c>
      <c r="N113" s="389"/>
      <c r="O113" s="147"/>
      <c r="P113" s="147"/>
      <c r="Q113" s="147"/>
      <c r="R113" s="147"/>
      <c r="S113" s="147"/>
      <c r="T113" s="147"/>
      <c r="U113" s="147"/>
      <c r="V113" s="147"/>
      <c r="W113" s="147"/>
      <c r="X113" s="151"/>
      <c r="Y113" s="134"/>
      <c r="Z113" s="95"/>
      <c r="AA113" s="95"/>
      <c r="AB113" s="96"/>
      <c r="AC113" s="394"/>
      <c r="AD113" s="395"/>
      <c r="AE113" s="395"/>
      <c r="AF113" s="396"/>
      <c r="AI113" s="109" t="str">
        <f>"25:field221:" &amp; IF(I113="■",1,IF(L113="■",2,0))</f>
        <v>25:field221:0</v>
      </c>
    </row>
    <row r="114" spans="1:36" ht="18.75" customHeight="1" x14ac:dyDescent="0.15">
      <c r="A114" s="97"/>
      <c r="B114" s="119"/>
      <c r="C114" s="99"/>
      <c r="D114" s="100"/>
      <c r="E114" s="101"/>
      <c r="F114" s="102"/>
      <c r="G114" s="101"/>
      <c r="H114" s="352"/>
      <c r="I114" s="390"/>
      <c r="J114" s="389"/>
      <c r="K114" s="389"/>
      <c r="L114" s="390"/>
      <c r="M114" s="389"/>
      <c r="N114" s="389"/>
      <c r="O114" s="105"/>
      <c r="P114" s="105"/>
      <c r="Q114" s="105"/>
      <c r="R114" s="105"/>
      <c r="S114" s="105"/>
      <c r="T114" s="105"/>
      <c r="U114" s="105"/>
      <c r="V114" s="105"/>
      <c r="W114" s="105"/>
      <c r="X114" s="149"/>
      <c r="Y114" s="134"/>
      <c r="Z114" s="95"/>
      <c r="AA114" s="95"/>
      <c r="AB114" s="96"/>
      <c r="AC114" s="394"/>
      <c r="AD114" s="395"/>
      <c r="AE114" s="395"/>
      <c r="AF114" s="396"/>
    </row>
    <row r="115" spans="1:36" ht="18.75" customHeight="1" x14ac:dyDescent="0.15">
      <c r="A115" s="156"/>
      <c r="B115" s="231"/>
      <c r="C115" s="158"/>
      <c r="D115" s="159"/>
      <c r="E115" s="160"/>
      <c r="F115" s="161"/>
      <c r="G115" s="162"/>
      <c r="H115" s="85" t="s">
        <v>234</v>
      </c>
      <c r="I115" s="163" t="s">
        <v>196</v>
      </c>
      <c r="J115" s="86" t="s">
        <v>153</v>
      </c>
      <c r="K115" s="86"/>
      <c r="L115" s="164" t="s">
        <v>196</v>
      </c>
      <c r="M115" s="86" t="s">
        <v>218</v>
      </c>
      <c r="N115" s="87"/>
      <c r="O115" s="164" t="s">
        <v>196</v>
      </c>
      <c r="P115" s="89" t="s">
        <v>219</v>
      </c>
      <c r="Q115" s="88"/>
      <c r="R115" s="164" t="s">
        <v>196</v>
      </c>
      <c r="S115" s="86" t="s">
        <v>220</v>
      </c>
      <c r="T115" s="88"/>
      <c r="U115" s="164" t="s">
        <v>196</v>
      </c>
      <c r="V115" s="86" t="s">
        <v>221</v>
      </c>
      <c r="W115" s="90"/>
      <c r="X115" s="91"/>
      <c r="Y115" s="165"/>
      <c r="Z115" s="165"/>
      <c r="AA115" s="165"/>
      <c r="AB115" s="166"/>
      <c r="AC115" s="397"/>
      <c r="AD115" s="398"/>
      <c r="AE115" s="398"/>
      <c r="AF115" s="399"/>
      <c r="AG115" s="109"/>
      <c r="AH115" s="109"/>
      <c r="AI115" s="109" t="str">
        <f>"25:shoguukaizen_code:"&amp;IF(I115="■",1,IF(L115="■",7,IF(O115="■",8,IF(R115="■",9,IF(U115="■","A",0)))))</f>
        <v>25:shoguukaizen_code:0</v>
      </c>
    </row>
    <row r="116" spans="1:36" ht="18.75" customHeight="1" x14ac:dyDescent="0.15">
      <c r="A116" s="122"/>
      <c r="B116" s="123"/>
      <c r="C116" s="124"/>
      <c r="D116" s="125"/>
      <c r="E116" s="117"/>
      <c r="F116" s="126"/>
      <c r="G116" s="117"/>
      <c r="H116" s="201" t="s">
        <v>92</v>
      </c>
      <c r="I116" s="175" t="s">
        <v>196</v>
      </c>
      <c r="J116" s="168" t="s">
        <v>179</v>
      </c>
      <c r="K116" s="169"/>
      <c r="L116" s="170"/>
      <c r="M116" s="171" t="s">
        <v>196</v>
      </c>
      <c r="N116" s="168" t="s">
        <v>180</v>
      </c>
      <c r="O116" s="195"/>
      <c r="P116" s="169"/>
      <c r="Q116" s="169"/>
      <c r="R116" s="169"/>
      <c r="S116" s="169"/>
      <c r="T116" s="169"/>
      <c r="U116" s="169"/>
      <c r="V116" s="169"/>
      <c r="W116" s="169"/>
      <c r="X116" s="223"/>
      <c r="Y116" s="227" t="s">
        <v>196</v>
      </c>
      <c r="Z116" s="115" t="s">
        <v>152</v>
      </c>
      <c r="AA116" s="115"/>
      <c r="AB116" s="128"/>
      <c r="AC116" s="391"/>
      <c r="AD116" s="392"/>
      <c r="AE116" s="392"/>
      <c r="AF116" s="393"/>
      <c r="AG116" s="109" t="str">
        <f>"ser_code = '" &amp; IF(A125="■",25,"") &amp; "'"</f>
        <v>ser_code = ''</v>
      </c>
      <c r="AH116" s="109"/>
      <c r="AI116" s="109" t="str">
        <f>"25:yakan_kinmu_code:" &amp; IF(I116="■",1,IF(M116="■",6,0))</f>
        <v>25:yakan_kinmu_code:0</v>
      </c>
      <c r="AJ116" s="109" t="str">
        <f>"25:field203:" &amp; IF(Y116="■",1,IF(Y117="■",2,0))</f>
        <v>25:field203:0</v>
      </c>
    </row>
    <row r="117" spans="1:36" ht="18.75" customHeight="1" x14ac:dyDescent="0.15">
      <c r="A117" s="97"/>
      <c r="B117" s="119"/>
      <c r="C117" s="99"/>
      <c r="D117" s="100"/>
      <c r="E117" s="101"/>
      <c r="F117" s="102"/>
      <c r="G117" s="101"/>
      <c r="H117" s="349" t="s">
        <v>89</v>
      </c>
      <c r="I117" s="175" t="s">
        <v>196</v>
      </c>
      <c r="J117" s="94" t="s">
        <v>153</v>
      </c>
      <c r="K117" s="94"/>
      <c r="L117" s="190"/>
      <c r="M117" s="197" t="s">
        <v>196</v>
      </c>
      <c r="N117" s="94" t="s">
        <v>168</v>
      </c>
      <c r="O117" s="94"/>
      <c r="P117" s="190"/>
      <c r="Q117" s="197" t="s">
        <v>196</v>
      </c>
      <c r="R117" s="146" t="s">
        <v>169</v>
      </c>
      <c r="U117" s="197" t="s">
        <v>196</v>
      </c>
      <c r="V117" s="146" t="s">
        <v>170</v>
      </c>
      <c r="X117" s="153"/>
      <c r="Y117" s="197" t="s">
        <v>196</v>
      </c>
      <c r="Z117" s="94" t="s">
        <v>156</v>
      </c>
      <c r="AA117" s="95"/>
      <c r="AB117" s="96"/>
      <c r="AC117" s="394"/>
      <c r="AD117" s="395"/>
      <c r="AE117" s="395"/>
      <c r="AF117" s="396"/>
      <c r="AG117" s="109" t="str">
        <f>"25:sisetukbn_code:" &amp; IF(D125="■",9,0)</f>
        <v>25:sisetukbn_code:0</v>
      </c>
      <c r="AH117" s="109"/>
      <c r="AI117" s="109" t="str">
        <f>"25:"&amp;IF(AND(I117="□",M117="□",Q117="□",U117="□",I118="□",M118="□",Q118="□"),"ketu_doctor_code:0",IF(I117="■","ketu_doctor_code:1:ketu_kangos_code:1:ketu_kshoku_code:1:ketu_rryoho_code:1:ketu_sryoho_code:1:ketu_gengo_code:1",
IF(M117="■","ketu_doctor_code:2","ketu_doctor_code:1")
&amp;IF(Q117="■",":ketu_kangos_code:2",":ketu_kangos_code:1")
&amp;IF(U117="■",":ketu_kshoku_code:2",":ketu_kshoku_code:1")
&amp;IF(I118="■",":ketu_rryoho_code:2",":ketu_rryoho_code:1")
&amp;IF(M118="■",":ketu_sryoho_code:2",":ketu_sryoho_code:1")
&amp;IF(Q118="■",":ketu_gengo_code:2",":ketu_gengo_code:1")))</f>
        <v>25:ketu_doctor_code:0</v>
      </c>
      <c r="AJ117" s="109"/>
    </row>
    <row r="118" spans="1:36" ht="18.75" customHeight="1" x14ac:dyDescent="0.15">
      <c r="A118" s="97"/>
      <c r="B118" s="119"/>
      <c r="C118" s="99"/>
      <c r="D118" s="100"/>
      <c r="E118" s="101"/>
      <c r="F118" s="102"/>
      <c r="G118" s="101"/>
      <c r="H118" s="350"/>
      <c r="I118" s="196" t="s">
        <v>196</v>
      </c>
      <c r="J118" s="105" t="s">
        <v>171</v>
      </c>
      <c r="K118" s="148"/>
      <c r="L118" s="148"/>
      <c r="M118" s="191" t="s">
        <v>196</v>
      </c>
      <c r="N118" s="105" t="s">
        <v>172</v>
      </c>
      <c r="O118" s="148"/>
      <c r="P118" s="148"/>
      <c r="Q118" s="191" t="s">
        <v>196</v>
      </c>
      <c r="R118" s="105" t="s">
        <v>173</v>
      </c>
      <c r="S118" s="148"/>
      <c r="T118" s="148"/>
      <c r="U118" s="148"/>
      <c r="V118" s="148"/>
      <c r="W118" s="148"/>
      <c r="X118" s="229"/>
      <c r="Y118" s="134"/>
      <c r="Z118" s="95"/>
      <c r="AA118" s="95"/>
      <c r="AB118" s="96"/>
      <c r="AC118" s="394"/>
      <c r="AD118" s="395"/>
      <c r="AE118" s="395"/>
      <c r="AF118" s="396"/>
    </row>
    <row r="119" spans="1:36" ht="18.75" customHeight="1" x14ac:dyDescent="0.15">
      <c r="A119" s="97"/>
      <c r="B119" s="119"/>
      <c r="C119" s="99"/>
      <c r="D119" s="100"/>
      <c r="E119" s="101"/>
      <c r="F119" s="102"/>
      <c r="G119" s="101"/>
      <c r="H119" s="203" t="s">
        <v>93</v>
      </c>
      <c r="I119" s="175" t="s">
        <v>196</v>
      </c>
      <c r="J119" s="136" t="s">
        <v>159</v>
      </c>
      <c r="K119" s="137"/>
      <c r="L119" s="138"/>
      <c r="M119" s="139" t="s">
        <v>196</v>
      </c>
      <c r="N119" s="136" t="s">
        <v>160</v>
      </c>
      <c r="O119" s="141"/>
      <c r="P119" s="137"/>
      <c r="Q119" s="141"/>
      <c r="R119" s="141"/>
      <c r="S119" s="141"/>
      <c r="T119" s="141"/>
      <c r="U119" s="141"/>
      <c r="V119" s="141"/>
      <c r="W119" s="141"/>
      <c r="X119" s="142"/>
      <c r="Y119" s="134"/>
      <c r="Z119" s="95"/>
      <c r="AA119" s="95"/>
      <c r="AB119" s="96"/>
      <c r="AC119" s="394"/>
      <c r="AD119" s="395"/>
      <c r="AE119" s="395"/>
      <c r="AF119" s="396"/>
      <c r="AI119" s="109" t="str">
        <f>"25:unitcare_code:" &amp; IF(I119="■",1,IF(M119="■",2,0))</f>
        <v>25:unitcare_code:0</v>
      </c>
    </row>
    <row r="120" spans="1:36" s="109" customFormat="1" ht="18.75" customHeight="1" x14ac:dyDescent="0.15">
      <c r="A120" s="97"/>
      <c r="B120" s="119"/>
      <c r="C120" s="210"/>
      <c r="D120" s="211"/>
      <c r="E120" s="101"/>
      <c r="F120" s="102"/>
      <c r="G120" s="103"/>
      <c r="H120" s="203" t="s">
        <v>96</v>
      </c>
      <c r="I120" s="135" t="s">
        <v>196</v>
      </c>
      <c r="J120" s="136" t="s">
        <v>197</v>
      </c>
      <c r="K120" s="137"/>
      <c r="L120" s="138"/>
      <c r="M120" s="139" t="s">
        <v>196</v>
      </c>
      <c r="N120" s="136" t="s">
        <v>198</v>
      </c>
      <c r="O120" s="137"/>
      <c r="P120" s="137"/>
      <c r="Q120" s="137"/>
      <c r="R120" s="137"/>
      <c r="S120" s="137"/>
      <c r="T120" s="137"/>
      <c r="U120" s="137"/>
      <c r="V120" s="137"/>
      <c r="W120" s="137"/>
      <c r="X120" s="145"/>
      <c r="Y120" s="134"/>
      <c r="Z120" s="95"/>
      <c r="AA120" s="95"/>
      <c r="AB120" s="96"/>
      <c r="AC120" s="394"/>
      <c r="AD120" s="395"/>
      <c r="AE120" s="395"/>
      <c r="AF120" s="396"/>
      <c r="AI120" s="109" t="str">
        <f>"25:sintaikousoku_code:" &amp; IF(I120="■",1,IF(M120="■",2,0))</f>
        <v>25:sintaikousoku_code:0</v>
      </c>
    </row>
    <row r="121" spans="1:36" ht="19.5" customHeight="1" x14ac:dyDescent="0.15">
      <c r="A121" s="97"/>
      <c r="B121" s="119"/>
      <c r="C121" s="99"/>
      <c r="D121" s="100"/>
      <c r="E121" s="101"/>
      <c r="F121" s="102"/>
      <c r="G121" s="103"/>
      <c r="H121" s="104" t="s">
        <v>215</v>
      </c>
      <c r="I121" s="175" t="s">
        <v>196</v>
      </c>
      <c r="J121" s="136" t="s">
        <v>197</v>
      </c>
      <c r="K121" s="137"/>
      <c r="L121" s="138"/>
      <c r="M121" s="139" t="s">
        <v>196</v>
      </c>
      <c r="N121" s="136" t="s">
        <v>216</v>
      </c>
      <c r="O121" s="136"/>
      <c r="P121" s="136"/>
      <c r="Q121" s="141"/>
      <c r="R121" s="141"/>
      <c r="S121" s="141"/>
      <c r="T121" s="141"/>
      <c r="U121" s="141"/>
      <c r="V121" s="141"/>
      <c r="W121" s="141"/>
      <c r="X121" s="142"/>
      <c r="Y121" s="95"/>
      <c r="Z121" s="95"/>
      <c r="AA121" s="95"/>
      <c r="AB121" s="96"/>
      <c r="AC121" s="394"/>
      <c r="AD121" s="395"/>
      <c r="AE121" s="395"/>
      <c r="AF121" s="396"/>
      <c r="AI121" s="109" t="str">
        <f>"25:field223:" &amp; IF(I121="■",1,IF(M121="■",2,0))</f>
        <v>25:field223:0</v>
      </c>
    </row>
    <row r="122" spans="1:36" ht="19.5" customHeight="1" x14ac:dyDescent="0.15">
      <c r="A122" s="97"/>
      <c r="B122" s="119"/>
      <c r="C122" s="99"/>
      <c r="D122" s="100"/>
      <c r="E122" s="101"/>
      <c r="F122" s="102"/>
      <c r="G122" s="103"/>
      <c r="H122" s="104" t="s">
        <v>226</v>
      </c>
      <c r="I122" s="175" t="s">
        <v>196</v>
      </c>
      <c r="J122" s="105" t="s">
        <v>197</v>
      </c>
      <c r="K122" s="154"/>
      <c r="L122" s="106"/>
      <c r="M122" s="191" t="s">
        <v>196</v>
      </c>
      <c r="N122" s="105" t="s">
        <v>216</v>
      </c>
      <c r="O122" s="105"/>
      <c r="P122" s="105"/>
      <c r="Q122" s="132"/>
      <c r="R122" s="132"/>
      <c r="S122" s="132"/>
      <c r="T122" s="132"/>
      <c r="U122" s="132"/>
      <c r="V122" s="132"/>
      <c r="W122" s="132"/>
      <c r="X122" s="133"/>
      <c r="Y122" s="95"/>
      <c r="Z122" s="94"/>
      <c r="AA122" s="95"/>
      <c r="AB122" s="96"/>
      <c r="AC122" s="394"/>
      <c r="AD122" s="395"/>
      <c r="AE122" s="395"/>
      <c r="AF122" s="396"/>
      <c r="AI122" s="109" t="str">
        <f>"25:field232:" &amp; IF(I122="■",1,IF(M122="■",2,0))</f>
        <v>25:field232:0</v>
      </c>
    </row>
    <row r="123" spans="1:36" ht="19.5" customHeight="1" x14ac:dyDescent="0.15">
      <c r="A123" s="97"/>
      <c r="B123" s="119"/>
      <c r="C123" s="99"/>
      <c r="D123" s="100"/>
      <c r="E123" s="101"/>
      <c r="F123" s="102"/>
      <c r="G123" s="103"/>
      <c r="H123" s="104" t="s">
        <v>251</v>
      </c>
      <c r="I123" s="135" t="s">
        <v>196</v>
      </c>
      <c r="J123" s="105" t="s">
        <v>249</v>
      </c>
      <c r="K123" s="154"/>
      <c r="L123" s="106"/>
      <c r="M123" s="139" t="s">
        <v>196</v>
      </c>
      <c r="N123" s="105" t="s">
        <v>250</v>
      </c>
      <c r="O123" s="208"/>
      <c r="P123" s="105"/>
      <c r="Q123" s="132"/>
      <c r="R123" s="132"/>
      <c r="S123" s="132"/>
      <c r="T123" s="132"/>
      <c r="U123" s="132"/>
      <c r="V123" s="132"/>
      <c r="W123" s="132"/>
      <c r="X123" s="133"/>
      <c r="Y123" s="150"/>
      <c r="Z123" s="94"/>
      <c r="AA123" s="95"/>
      <c r="AB123" s="96"/>
      <c r="AC123" s="394"/>
      <c r="AD123" s="395"/>
      <c r="AE123" s="395"/>
      <c r="AF123" s="396"/>
      <c r="AI123" s="109" t="str">
        <f>"25:field242:" &amp; IF(I123="■",1,IF(M123="■",2,0))</f>
        <v>25:field242:0</v>
      </c>
    </row>
    <row r="124" spans="1:36" ht="18.75" customHeight="1" x14ac:dyDescent="0.15">
      <c r="A124" s="97"/>
      <c r="B124" s="119"/>
      <c r="C124" s="99"/>
      <c r="D124" s="100"/>
      <c r="E124" s="101"/>
      <c r="F124" s="102"/>
      <c r="G124" s="101"/>
      <c r="H124" s="203" t="s">
        <v>98</v>
      </c>
      <c r="I124" s="175" t="s">
        <v>196</v>
      </c>
      <c r="J124" s="136" t="s">
        <v>153</v>
      </c>
      <c r="K124" s="137"/>
      <c r="L124" s="139" t="s">
        <v>196</v>
      </c>
      <c r="M124" s="136" t="s">
        <v>161</v>
      </c>
      <c r="N124" s="212"/>
      <c r="O124" s="141"/>
      <c r="P124" s="141"/>
      <c r="Q124" s="141"/>
      <c r="R124" s="141"/>
      <c r="S124" s="141"/>
      <c r="T124" s="141"/>
      <c r="U124" s="141"/>
      <c r="V124" s="141"/>
      <c r="W124" s="141"/>
      <c r="X124" s="142"/>
      <c r="Y124" s="134"/>
      <c r="Z124" s="95"/>
      <c r="AA124" s="95"/>
      <c r="AB124" s="96"/>
      <c r="AC124" s="394"/>
      <c r="AD124" s="395"/>
      <c r="AE124" s="395"/>
      <c r="AF124" s="396"/>
      <c r="AI124" s="109" t="str">
        <f>"25:yakinhaiti_code:" &amp; IF(I124="■",1,IF(L124="■",2,0))</f>
        <v>25:yakinhaiti_code:0</v>
      </c>
    </row>
    <row r="125" spans="1:36" ht="18.75" customHeight="1" x14ac:dyDescent="0.15">
      <c r="A125" s="196" t="s">
        <v>196</v>
      </c>
      <c r="B125" s="119">
        <v>25</v>
      </c>
      <c r="C125" s="99" t="s">
        <v>248</v>
      </c>
      <c r="D125" s="196" t="s">
        <v>196</v>
      </c>
      <c r="E125" s="101" t="s">
        <v>194</v>
      </c>
      <c r="F125" s="102"/>
      <c r="G125" s="101"/>
      <c r="H125" s="203" t="s">
        <v>244</v>
      </c>
      <c r="I125" s="175" t="s">
        <v>196</v>
      </c>
      <c r="J125" s="136" t="s">
        <v>153</v>
      </c>
      <c r="K125" s="137"/>
      <c r="L125" s="139" t="s">
        <v>196</v>
      </c>
      <c r="M125" s="136" t="s">
        <v>161</v>
      </c>
      <c r="N125" s="212"/>
      <c r="O125" s="141"/>
      <c r="P125" s="141"/>
      <c r="Q125" s="141"/>
      <c r="R125" s="141"/>
      <c r="S125" s="141"/>
      <c r="T125" s="141"/>
      <c r="U125" s="141"/>
      <c r="V125" s="141"/>
      <c r="W125" s="141"/>
      <c r="X125" s="142"/>
      <c r="Y125" s="134"/>
      <c r="Z125" s="95"/>
      <c r="AA125" s="95"/>
      <c r="AB125" s="96"/>
      <c r="AC125" s="394"/>
      <c r="AD125" s="395"/>
      <c r="AE125" s="395"/>
      <c r="AF125" s="396"/>
      <c r="AI125" s="109" t="str">
        <f>"25:jyakuninti_uke_code:" &amp; IF(I125="■",1,IF(L125="■",2,0))</f>
        <v>25:jyakuninti_uke_code:0</v>
      </c>
    </row>
    <row r="126" spans="1:36" ht="18.75" customHeight="1" x14ac:dyDescent="0.15">
      <c r="A126" s="97"/>
      <c r="B126" s="119"/>
      <c r="C126" s="99"/>
      <c r="D126" s="100"/>
      <c r="E126" s="101"/>
      <c r="F126" s="102"/>
      <c r="G126" s="101"/>
      <c r="H126" s="203" t="s">
        <v>90</v>
      </c>
      <c r="I126" s="175" t="s">
        <v>196</v>
      </c>
      <c r="J126" s="136" t="s">
        <v>159</v>
      </c>
      <c r="K126" s="137"/>
      <c r="L126" s="138"/>
      <c r="M126" s="139" t="s">
        <v>196</v>
      </c>
      <c r="N126" s="136" t="s">
        <v>160</v>
      </c>
      <c r="O126" s="141"/>
      <c r="P126" s="141"/>
      <c r="Q126" s="141"/>
      <c r="R126" s="141"/>
      <c r="S126" s="141"/>
      <c r="T126" s="141"/>
      <c r="U126" s="141"/>
      <c r="V126" s="141"/>
      <c r="W126" s="141"/>
      <c r="X126" s="142"/>
      <c r="Y126" s="134"/>
      <c r="Z126" s="95"/>
      <c r="AA126" s="95"/>
      <c r="AB126" s="96"/>
      <c r="AC126" s="394"/>
      <c r="AD126" s="395"/>
      <c r="AE126" s="395"/>
      <c r="AF126" s="396"/>
      <c r="AI126" s="109" t="str">
        <f>"25:sougei_code:" &amp; IF(I126="■",1,IF(M126="■",2,0))</f>
        <v>25:sougei_code:0</v>
      </c>
    </row>
    <row r="127" spans="1:36" ht="19.5" customHeight="1" x14ac:dyDescent="0.15">
      <c r="A127" s="97"/>
      <c r="B127" s="119"/>
      <c r="C127" s="99"/>
      <c r="D127" s="100"/>
      <c r="E127" s="101"/>
      <c r="F127" s="102"/>
      <c r="G127" s="103"/>
      <c r="H127" s="104" t="s">
        <v>217</v>
      </c>
      <c r="I127" s="175" t="s">
        <v>196</v>
      </c>
      <c r="J127" s="136" t="s">
        <v>153</v>
      </c>
      <c r="K127" s="136"/>
      <c r="L127" s="139" t="s">
        <v>196</v>
      </c>
      <c r="M127" s="136" t="s">
        <v>161</v>
      </c>
      <c r="N127" s="136"/>
      <c r="O127" s="141"/>
      <c r="P127" s="136"/>
      <c r="Q127" s="141"/>
      <c r="R127" s="141"/>
      <c r="S127" s="141"/>
      <c r="T127" s="141"/>
      <c r="U127" s="141"/>
      <c r="V127" s="141"/>
      <c r="W127" s="141"/>
      <c r="X127" s="142"/>
      <c r="Y127" s="95"/>
      <c r="Z127" s="95"/>
      <c r="AA127" s="95"/>
      <c r="AB127" s="96"/>
      <c r="AC127" s="394"/>
      <c r="AD127" s="395"/>
      <c r="AE127" s="395"/>
      <c r="AF127" s="396"/>
      <c r="AI127" s="109" t="str">
        <f>"25:field224:" &amp; IF(I127="■",1,IF(L127="■",2,0))</f>
        <v>25:field224:0</v>
      </c>
    </row>
    <row r="128" spans="1:36" ht="18.75" customHeight="1" x14ac:dyDescent="0.15">
      <c r="A128" s="97"/>
      <c r="B128" s="119"/>
      <c r="C128" s="99"/>
      <c r="D128" s="100"/>
      <c r="E128" s="101"/>
      <c r="F128" s="102"/>
      <c r="G128" s="101"/>
      <c r="H128" s="203" t="s">
        <v>99</v>
      </c>
      <c r="I128" s="175" t="s">
        <v>196</v>
      </c>
      <c r="J128" s="136" t="s">
        <v>153</v>
      </c>
      <c r="K128" s="137"/>
      <c r="L128" s="139" t="s">
        <v>196</v>
      </c>
      <c r="M128" s="136" t="s">
        <v>161</v>
      </c>
      <c r="N128" s="212"/>
      <c r="O128" s="141"/>
      <c r="P128" s="141"/>
      <c r="Q128" s="141"/>
      <c r="R128" s="141"/>
      <c r="S128" s="141"/>
      <c r="T128" s="141"/>
      <c r="U128" s="141"/>
      <c r="V128" s="141"/>
      <c r="W128" s="141"/>
      <c r="X128" s="142"/>
      <c r="Y128" s="134"/>
      <c r="Z128" s="95"/>
      <c r="AA128" s="95"/>
      <c r="AB128" s="96"/>
      <c r="AC128" s="394"/>
      <c r="AD128" s="395"/>
      <c r="AE128" s="395"/>
      <c r="AF128" s="396"/>
      <c r="AI128" s="109" t="str">
        <f>"25:ryouyoushoku_code:" &amp; IF(I128="■",1,IF(L128="■",2,0))</f>
        <v>25:ryouyoushoku_code:0</v>
      </c>
    </row>
    <row r="129" spans="1:36" ht="18.75" customHeight="1" x14ac:dyDescent="0.15">
      <c r="A129" s="97"/>
      <c r="B129" s="119"/>
      <c r="C129" s="99"/>
      <c r="D129" s="100"/>
      <c r="E129" s="101"/>
      <c r="F129" s="102"/>
      <c r="G129" s="101"/>
      <c r="H129" s="203" t="s">
        <v>122</v>
      </c>
      <c r="I129" s="175" t="s">
        <v>196</v>
      </c>
      <c r="J129" s="136" t="s">
        <v>153</v>
      </c>
      <c r="K129" s="136"/>
      <c r="L129" s="139" t="s">
        <v>196</v>
      </c>
      <c r="M129" s="136" t="s">
        <v>154</v>
      </c>
      <c r="N129" s="136"/>
      <c r="O129" s="139" t="s">
        <v>196</v>
      </c>
      <c r="P129" s="136" t="s">
        <v>155</v>
      </c>
      <c r="Q129" s="141"/>
      <c r="R129" s="141"/>
      <c r="S129" s="141"/>
      <c r="T129" s="141"/>
      <c r="U129" s="141"/>
      <c r="V129" s="141"/>
      <c r="W129" s="141"/>
      <c r="X129" s="142"/>
      <c r="Y129" s="134"/>
      <c r="Z129" s="95"/>
      <c r="AA129" s="95"/>
      <c r="AB129" s="96"/>
      <c r="AC129" s="394"/>
      <c r="AD129" s="395"/>
      <c r="AE129" s="395"/>
      <c r="AF129" s="396"/>
      <c r="AI129" s="109" t="str">
        <f>"25:ninti_senmoncare_code:" &amp; IF(I129="■",1,IF(O129="■",3,IF(L129="■",2,0)))</f>
        <v>25:ninti_senmoncare_code:0</v>
      </c>
    </row>
    <row r="130" spans="1:36" ht="18.75" customHeight="1" x14ac:dyDescent="0.15">
      <c r="A130" s="97"/>
      <c r="B130" s="119"/>
      <c r="C130" s="99"/>
      <c r="D130" s="100"/>
      <c r="E130" s="101"/>
      <c r="F130" s="102"/>
      <c r="G130" s="101"/>
      <c r="H130" s="213" t="s">
        <v>224</v>
      </c>
      <c r="I130" s="175" t="s">
        <v>196</v>
      </c>
      <c r="J130" s="136" t="s">
        <v>153</v>
      </c>
      <c r="K130" s="136"/>
      <c r="L130" s="139" t="s">
        <v>196</v>
      </c>
      <c r="M130" s="136" t="s">
        <v>154</v>
      </c>
      <c r="N130" s="136"/>
      <c r="O130" s="139" t="s">
        <v>196</v>
      </c>
      <c r="P130" s="136" t="s">
        <v>155</v>
      </c>
      <c r="Q130" s="141"/>
      <c r="R130" s="141"/>
      <c r="S130" s="141"/>
      <c r="T130" s="141"/>
      <c r="U130" s="214"/>
      <c r="V130" s="214"/>
      <c r="W130" s="214"/>
      <c r="X130" s="215"/>
      <c r="Y130" s="134"/>
      <c r="Z130" s="95"/>
      <c r="AA130" s="95"/>
      <c r="AB130" s="96"/>
      <c r="AC130" s="394"/>
      <c r="AD130" s="395"/>
      <c r="AE130" s="395"/>
      <c r="AF130" s="396"/>
      <c r="AI130" s="109" t="str">
        <f>"25:field225:" &amp; IF(I130="■",1,IF(L130="■",2,IF(O130="■",3,0)))</f>
        <v>25:field225:0</v>
      </c>
    </row>
    <row r="131" spans="1:36" ht="18.75" customHeight="1" x14ac:dyDescent="0.15">
      <c r="A131" s="97"/>
      <c r="B131" s="119"/>
      <c r="C131" s="99"/>
      <c r="D131" s="100"/>
      <c r="E131" s="101"/>
      <c r="F131" s="102"/>
      <c r="G131" s="101"/>
      <c r="H131" s="203" t="s">
        <v>103</v>
      </c>
      <c r="I131" s="175" t="s">
        <v>196</v>
      </c>
      <c r="J131" s="136" t="s">
        <v>153</v>
      </c>
      <c r="K131" s="136"/>
      <c r="L131" s="139" t="s">
        <v>196</v>
      </c>
      <c r="M131" s="136" t="s">
        <v>157</v>
      </c>
      <c r="N131" s="136"/>
      <c r="O131" s="139" t="s">
        <v>196</v>
      </c>
      <c r="P131" s="136" t="s">
        <v>158</v>
      </c>
      <c r="Q131" s="212"/>
      <c r="R131" s="139" t="s">
        <v>196</v>
      </c>
      <c r="S131" s="136" t="s">
        <v>167</v>
      </c>
      <c r="T131" s="136"/>
      <c r="U131" s="212"/>
      <c r="V131" s="212"/>
      <c r="W131" s="212"/>
      <c r="X131" s="178"/>
      <c r="Y131" s="134"/>
      <c r="Z131" s="95"/>
      <c r="AA131" s="95"/>
      <c r="AB131" s="96"/>
      <c r="AC131" s="394"/>
      <c r="AD131" s="395"/>
      <c r="AE131" s="395"/>
      <c r="AF131" s="396"/>
      <c r="AI131" s="109" t="str">
        <f>"25:serteikyo_kyoka_code:" &amp; IF(I131="■",1,IF(L131="■",6,IF(O131="■",5,IF(R131="■",7,0))))</f>
        <v>25:serteikyo_kyoka_code:0</v>
      </c>
    </row>
    <row r="132" spans="1:36" ht="18.75" customHeight="1" x14ac:dyDescent="0.15">
      <c r="A132" s="97"/>
      <c r="B132" s="119"/>
      <c r="C132" s="99"/>
      <c r="D132" s="100"/>
      <c r="E132" s="101"/>
      <c r="F132" s="102"/>
      <c r="G132" s="101"/>
      <c r="H132" s="351" t="s">
        <v>238</v>
      </c>
      <c r="I132" s="390" t="s">
        <v>196</v>
      </c>
      <c r="J132" s="389" t="s">
        <v>153</v>
      </c>
      <c r="K132" s="389"/>
      <c r="L132" s="390" t="s">
        <v>196</v>
      </c>
      <c r="M132" s="389" t="s">
        <v>161</v>
      </c>
      <c r="N132" s="389"/>
      <c r="O132" s="147"/>
      <c r="P132" s="147"/>
      <c r="Q132" s="147"/>
      <c r="R132" s="147"/>
      <c r="S132" s="147"/>
      <c r="T132" s="147"/>
      <c r="U132" s="147"/>
      <c r="V132" s="147"/>
      <c r="W132" s="147"/>
      <c r="X132" s="151"/>
      <c r="Y132" s="134"/>
      <c r="Z132" s="95"/>
      <c r="AA132" s="95"/>
      <c r="AB132" s="96"/>
      <c r="AC132" s="394"/>
      <c r="AD132" s="395"/>
      <c r="AE132" s="395"/>
      <c r="AF132" s="396"/>
      <c r="AI132" s="109" t="str">
        <f>"25:field221:" &amp; IF(I132="■",1,IF(L132="■",2,0))</f>
        <v>25:field221:0</v>
      </c>
    </row>
    <row r="133" spans="1:36" ht="18.75" customHeight="1" x14ac:dyDescent="0.15">
      <c r="A133" s="97"/>
      <c r="B133" s="119"/>
      <c r="C133" s="99"/>
      <c r="D133" s="100"/>
      <c r="E133" s="101"/>
      <c r="F133" s="102"/>
      <c r="G133" s="101"/>
      <c r="H133" s="352"/>
      <c r="I133" s="390"/>
      <c r="J133" s="389"/>
      <c r="K133" s="389"/>
      <c r="L133" s="390"/>
      <c r="M133" s="389"/>
      <c r="N133" s="389"/>
      <c r="O133" s="105"/>
      <c r="P133" s="105"/>
      <c r="Q133" s="105"/>
      <c r="R133" s="105"/>
      <c r="S133" s="105"/>
      <c r="T133" s="105"/>
      <c r="U133" s="105"/>
      <c r="V133" s="105"/>
      <c r="W133" s="105"/>
      <c r="X133" s="149"/>
      <c r="Y133" s="134"/>
      <c r="Z133" s="95"/>
      <c r="AA133" s="95"/>
      <c r="AB133" s="96"/>
      <c r="AC133" s="394"/>
      <c r="AD133" s="395"/>
      <c r="AE133" s="395"/>
      <c r="AF133" s="396"/>
    </row>
    <row r="134" spans="1:36" ht="18.75" customHeight="1" x14ac:dyDescent="0.15">
      <c r="A134" s="156"/>
      <c r="B134" s="119"/>
      <c r="C134" s="158"/>
      <c r="D134" s="159"/>
      <c r="E134" s="160"/>
      <c r="F134" s="161"/>
      <c r="G134" s="162"/>
      <c r="H134" s="85" t="s">
        <v>234</v>
      </c>
      <c r="I134" s="175" t="s">
        <v>196</v>
      </c>
      <c r="J134" s="86" t="s">
        <v>153</v>
      </c>
      <c r="K134" s="86"/>
      <c r="L134" s="164" t="s">
        <v>196</v>
      </c>
      <c r="M134" s="86" t="s">
        <v>218</v>
      </c>
      <c r="N134" s="87"/>
      <c r="O134" s="164" t="s">
        <v>196</v>
      </c>
      <c r="P134" s="89" t="s">
        <v>219</v>
      </c>
      <c r="Q134" s="88"/>
      <c r="R134" s="164" t="s">
        <v>196</v>
      </c>
      <c r="S134" s="86" t="s">
        <v>220</v>
      </c>
      <c r="T134" s="88"/>
      <c r="U134" s="164" t="s">
        <v>196</v>
      </c>
      <c r="V134" s="86" t="s">
        <v>221</v>
      </c>
      <c r="W134" s="90"/>
      <c r="X134" s="91"/>
      <c r="Y134" s="165"/>
      <c r="Z134" s="165"/>
      <c r="AA134" s="165"/>
      <c r="AB134" s="166"/>
      <c r="AC134" s="397"/>
      <c r="AD134" s="398"/>
      <c r="AE134" s="398"/>
      <c r="AF134" s="399"/>
      <c r="AG134" s="109"/>
      <c r="AH134" s="109"/>
      <c r="AI134" s="109" t="str">
        <f>"25:shoguukaizen_code:"&amp;IF(I134="■",1,IF(L134="■",7,IF(O134="■",8,IF(R134="■",9,IF(U134="■","A",0)))))</f>
        <v>25:shoguukaizen_code:0</v>
      </c>
    </row>
    <row r="135" spans="1:36" ht="18.75" customHeight="1" x14ac:dyDescent="0.15">
      <c r="A135" s="122"/>
      <c r="B135" s="123"/>
      <c r="C135" s="124"/>
      <c r="D135" s="125"/>
      <c r="E135" s="117"/>
      <c r="F135" s="126"/>
      <c r="G135" s="117"/>
      <c r="H135" s="201" t="s">
        <v>92</v>
      </c>
      <c r="I135" s="175" t="s">
        <v>196</v>
      </c>
      <c r="J135" s="168" t="s">
        <v>179</v>
      </c>
      <c r="K135" s="169"/>
      <c r="L135" s="170"/>
      <c r="M135" s="171" t="s">
        <v>196</v>
      </c>
      <c r="N135" s="168" t="s">
        <v>180</v>
      </c>
      <c r="O135" s="195"/>
      <c r="P135" s="169"/>
      <c r="Q135" s="169"/>
      <c r="R135" s="169"/>
      <c r="S135" s="169"/>
      <c r="T135" s="169"/>
      <c r="U135" s="169"/>
      <c r="V135" s="169"/>
      <c r="W135" s="169"/>
      <c r="X135" s="223"/>
      <c r="Y135" s="227" t="s">
        <v>196</v>
      </c>
      <c r="Z135" s="115" t="s">
        <v>152</v>
      </c>
      <c r="AA135" s="115"/>
      <c r="AB135" s="128"/>
      <c r="AC135" s="391"/>
      <c r="AD135" s="392"/>
      <c r="AE135" s="392"/>
      <c r="AF135" s="393"/>
      <c r="AG135" s="109" t="str">
        <f>"ser_code = '" &amp; IF(A144="■",25,"") &amp; "'"</f>
        <v>ser_code = ''</v>
      </c>
      <c r="AH135" s="109"/>
      <c r="AI135" s="109" t="str">
        <f>"25:yakan_kinmu_code:" &amp; IF(I135="■",1,IF(M135="■",6,0))</f>
        <v>25:yakan_kinmu_code:0</v>
      </c>
      <c r="AJ135" s="109" t="str">
        <f>"25:field203:" &amp; IF(Y135="■",1,IF(Y136="■",2,0))</f>
        <v>25:field203:0</v>
      </c>
    </row>
    <row r="136" spans="1:36" ht="18.75" customHeight="1" x14ac:dyDescent="0.15">
      <c r="A136" s="97"/>
      <c r="B136" s="119"/>
      <c r="C136" s="99"/>
      <c r="D136" s="100"/>
      <c r="E136" s="101"/>
      <c r="F136" s="102"/>
      <c r="G136" s="101"/>
      <c r="H136" s="349" t="s">
        <v>89</v>
      </c>
      <c r="I136" s="175" t="s">
        <v>196</v>
      </c>
      <c r="J136" s="94" t="s">
        <v>153</v>
      </c>
      <c r="K136" s="94"/>
      <c r="L136" s="190"/>
      <c r="M136" s="197" t="s">
        <v>196</v>
      </c>
      <c r="N136" s="94" t="s">
        <v>168</v>
      </c>
      <c r="O136" s="94"/>
      <c r="P136" s="190"/>
      <c r="Q136" s="197" t="s">
        <v>196</v>
      </c>
      <c r="R136" s="146" t="s">
        <v>169</v>
      </c>
      <c r="U136" s="197" t="s">
        <v>196</v>
      </c>
      <c r="V136" s="146" t="s">
        <v>170</v>
      </c>
      <c r="X136" s="153"/>
      <c r="Y136" s="197" t="s">
        <v>196</v>
      </c>
      <c r="Z136" s="94" t="s">
        <v>156</v>
      </c>
      <c r="AA136" s="95"/>
      <c r="AB136" s="96"/>
      <c r="AC136" s="394"/>
      <c r="AD136" s="395"/>
      <c r="AE136" s="395"/>
      <c r="AF136" s="396"/>
      <c r="AG136" s="109" t="str">
        <f>"25:sisetukbn_code:" &amp; IF(D144="■","A",0)</f>
        <v>25:sisetukbn_code:0</v>
      </c>
      <c r="AH136" s="109"/>
      <c r="AI136" s="109" t="str">
        <f>"25:"&amp;IF(AND(I136="□",M136="□",Q136="□",U136="□",I137="□",M137="□",Q137="□"),"ketu_doctor_code:0",IF(I136="■","ketu_doctor_code:1:ketu_kangos_code:1:ketu_kshoku_code:1:ketu_rryoho_code:1:ketu_sryoho_code:1:ketu_gengo_code:1",
IF(M136="■","ketu_doctor_code:2","ketu_doctor_code:1")
&amp;IF(Q136="■",":ketu_kangos_code:2",":ketu_kangos_code:1")
&amp;IF(U136="■",":ketu_kshoku_code:2",":ketu_kshoku_code:1")
&amp;IF(I137="■",":ketu_rryoho_code:2",":ketu_rryoho_code:1")
&amp;IF(M137="■",":ketu_sryoho_code:2",":ketu_sryoho_code:1")
&amp;IF(Q137="■",":ketu_gengo_code:2",":ketu_gengo_code:1")))</f>
        <v>25:ketu_doctor_code:0</v>
      </c>
      <c r="AJ136" s="109"/>
    </row>
    <row r="137" spans="1:36" ht="18.75" customHeight="1" x14ac:dyDescent="0.15">
      <c r="A137" s="97"/>
      <c r="B137" s="119"/>
      <c r="C137" s="99"/>
      <c r="D137" s="100"/>
      <c r="E137" s="101"/>
      <c r="F137" s="102"/>
      <c r="G137" s="101"/>
      <c r="H137" s="350"/>
      <c r="I137" s="196" t="s">
        <v>196</v>
      </c>
      <c r="J137" s="105" t="s">
        <v>171</v>
      </c>
      <c r="K137" s="148"/>
      <c r="L137" s="148"/>
      <c r="M137" s="191" t="s">
        <v>196</v>
      </c>
      <c r="N137" s="105" t="s">
        <v>172</v>
      </c>
      <c r="O137" s="148"/>
      <c r="P137" s="148"/>
      <c r="Q137" s="191" t="s">
        <v>196</v>
      </c>
      <c r="R137" s="105" t="s">
        <v>173</v>
      </c>
      <c r="S137" s="148"/>
      <c r="T137" s="148"/>
      <c r="U137" s="148"/>
      <c r="V137" s="148"/>
      <c r="W137" s="148"/>
      <c r="X137" s="229"/>
      <c r="Y137" s="134"/>
      <c r="Z137" s="95"/>
      <c r="AA137" s="95"/>
      <c r="AB137" s="96"/>
      <c r="AC137" s="394"/>
      <c r="AD137" s="395"/>
      <c r="AE137" s="395"/>
      <c r="AF137" s="396"/>
    </row>
    <row r="138" spans="1:36" ht="18.75" customHeight="1" x14ac:dyDescent="0.15">
      <c r="A138" s="97"/>
      <c r="B138" s="119"/>
      <c r="C138" s="99"/>
      <c r="D138" s="100"/>
      <c r="E138" s="101"/>
      <c r="F138" s="102"/>
      <c r="G138" s="101"/>
      <c r="H138" s="203" t="s">
        <v>93</v>
      </c>
      <c r="I138" s="175" t="s">
        <v>196</v>
      </c>
      <c r="J138" s="136" t="s">
        <v>159</v>
      </c>
      <c r="K138" s="137"/>
      <c r="L138" s="138"/>
      <c r="M138" s="139" t="s">
        <v>196</v>
      </c>
      <c r="N138" s="136" t="s">
        <v>160</v>
      </c>
      <c r="O138" s="141"/>
      <c r="P138" s="137"/>
      <c r="Q138" s="141"/>
      <c r="R138" s="141"/>
      <c r="S138" s="141"/>
      <c r="T138" s="141"/>
      <c r="U138" s="141"/>
      <c r="V138" s="141"/>
      <c r="W138" s="141"/>
      <c r="X138" s="142"/>
      <c r="Y138" s="134"/>
      <c r="Z138" s="95"/>
      <c r="AA138" s="95"/>
      <c r="AB138" s="96"/>
      <c r="AC138" s="394"/>
      <c r="AD138" s="395"/>
      <c r="AE138" s="395"/>
      <c r="AF138" s="396"/>
      <c r="AI138" s="109" t="str">
        <f>"25:unitcare_code:" &amp; IF(I138="■",1,IF(M138="■",2,0))</f>
        <v>25:unitcare_code:0</v>
      </c>
    </row>
    <row r="139" spans="1:36" s="109" customFormat="1" ht="18.75" customHeight="1" x14ac:dyDescent="0.15">
      <c r="A139" s="97"/>
      <c r="B139" s="119"/>
      <c r="C139" s="210"/>
      <c r="D139" s="211"/>
      <c r="E139" s="101"/>
      <c r="F139" s="102"/>
      <c r="G139" s="103"/>
      <c r="H139" s="203" t="s">
        <v>96</v>
      </c>
      <c r="I139" s="135" t="s">
        <v>196</v>
      </c>
      <c r="J139" s="136" t="s">
        <v>197</v>
      </c>
      <c r="K139" s="137"/>
      <c r="L139" s="138"/>
      <c r="M139" s="139" t="s">
        <v>196</v>
      </c>
      <c r="N139" s="136" t="s">
        <v>198</v>
      </c>
      <c r="O139" s="137"/>
      <c r="P139" s="137"/>
      <c r="Q139" s="137"/>
      <c r="R139" s="137"/>
      <c r="S139" s="137"/>
      <c r="T139" s="137"/>
      <c r="U139" s="137"/>
      <c r="V139" s="137"/>
      <c r="W139" s="137"/>
      <c r="X139" s="145"/>
      <c r="Y139" s="134"/>
      <c r="Z139" s="95"/>
      <c r="AA139" s="95"/>
      <c r="AB139" s="96"/>
      <c r="AC139" s="394"/>
      <c r="AD139" s="395"/>
      <c r="AE139" s="395"/>
      <c r="AF139" s="396"/>
      <c r="AI139" s="109" t="str">
        <f>"25:sintaikousoku_code:" &amp; IF(I139="■",1,IF(M139="■",2,0))</f>
        <v>25:sintaikousoku_code:0</v>
      </c>
    </row>
    <row r="140" spans="1:36" ht="19.5" customHeight="1" x14ac:dyDescent="0.15">
      <c r="A140" s="97"/>
      <c r="B140" s="119"/>
      <c r="C140" s="99"/>
      <c r="D140" s="100"/>
      <c r="E140" s="101"/>
      <c r="F140" s="102"/>
      <c r="G140" s="103"/>
      <c r="H140" s="104" t="s">
        <v>215</v>
      </c>
      <c r="I140" s="175" t="s">
        <v>196</v>
      </c>
      <c r="J140" s="136" t="s">
        <v>197</v>
      </c>
      <c r="K140" s="137"/>
      <c r="L140" s="138"/>
      <c r="M140" s="139" t="s">
        <v>196</v>
      </c>
      <c r="N140" s="136" t="s">
        <v>216</v>
      </c>
      <c r="O140" s="136"/>
      <c r="P140" s="136"/>
      <c r="Q140" s="141"/>
      <c r="R140" s="141"/>
      <c r="S140" s="141"/>
      <c r="T140" s="141"/>
      <c r="U140" s="141"/>
      <c r="V140" s="141"/>
      <c r="W140" s="141"/>
      <c r="X140" s="142"/>
      <c r="Y140" s="95"/>
      <c r="Z140" s="95"/>
      <c r="AA140" s="95"/>
      <c r="AB140" s="96"/>
      <c r="AC140" s="394"/>
      <c r="AD140" s="395"/>
      <c r="AE140" s="395"/>
      <c r="AF140" s="396"/>
      <c r="AI140" s="109" t="str">
        <f>"25:field223:" &amp; IF(I140="■",1,IF(M140="■",2,0))</f>
        <v>25:field223:0</v>
      </c>
    </row>
    <row r="141" spans="1:36" ht="19.5" customHeight="1" x14ac:dyDescent="0.15">
      <c r="A141" s="97"/>
      <c r="B141" s="119"/>
      <c r="C141" s="99"/>
      <c r="D141" s="100"/>
      <c r="E141" s="101"/>
      <c r="F141" s="102"/>
      <c r="G141" s="103"/>
      <c r="H141" s="104" t="s">
        <v>226</v>
      </c>
      <c r="I141" s="175" t="s">
        <v>196</v>
      </c>
      <c r="J141" s="105" t="s">
        <v>197</v>
      </c>
      <c r="K141" s="154"/>
      <c r="L141" s="106"/>
      <c r="M141" s="191" t="s">
        <v>196</v>
      </c>
      <c r="N141" s="105" t="s">
        <v>216</v>
      </c>
      <c r="O141" s="105"/>
      <c r="P141" s="105"/>
      <c r="Q141" s="132"/>
      <c r="R141" s="132"/>
      <c r="S141" s="132"/>
      <c r="T141" s="132"/>
      <c r="U141" s="132"/>
      <c r="V141" s="132"/>
      <c r="W141" s="132"/>
      <c r="X141" s="133"/>
      <c r="Y141" s="95"/>
      <c r="Z141" s="94"/>
      <c r="AA141" s="95"/>
      <c r="AB141" s="96"/>
      <c r="AC141" s="394"/>
      <c r="AD141" s="395"/>
      <c r="AE141" s="395"/>
      <c r="AF141" s="396"/>
      <c r="AI141" s="109" t="str">
        <f>"25:field232:" &amp; IF(I141="■",1,IF(M141="■",2,0))</f>
        <v>25:field232:0</v>
      </c>
    </row>
    <row r="142" spans="1:36" ht="18.75" customHeight="1" x14ac:dyDescent="0.15">
      <c r="A142" s="97"/>
      <c r="B142" s="119"/>
      <c r="C142" s="99"/>
      <c r="D142" s="100"/>
      <c r="E142" s="101"/>
      <c r="F142" s="102"/>
      <c r="G142" s="101"/>
      <c r="H142" s="203" t="s">
        <v>98</v>
      </c>
      <c r="I142" s="175" t="s">
        <v>196</v>
      </c>
      <c r="J142" s="136" t="s">
        <v>153</v>
      </c>
      <c r="K142" s="137"/>
      <c r="L142" s="139" t="s">
        <v>196</v>
      </c>
      <c r="M142" s="136" t="s">
        <v>161</v>
      </c>
      <c r="N142" s="212"/>
      <c r="O142" s="141"/>
      <c r="P142" s="141"/>
      <c r="Q142" s="141"/>
      <c r="R142" s="141"/>
      <c r="S142" s="141"/>
      <c r="T142" s="141"/>
      <c r="U142" s="141"/>
      <c r="V142" s="141"/>
      <c r="W142" s="141"/>
      <c r="X142" s="142"/>
      <c r="Y142" s="134"/>
      <c r="Z142" s="95"/>
      <c r="AA142" s="95"/>
      <c r="AB142" s="96"/>
      <c r="AC142" s="394"/>
      <c r="AD142" s="395"/>
      <c r="AE142" s="395"/>
      <c r="AF142" s="396"/>
      <c r="AI142" s="109" t="str">
        <f>"25:yakinhaiti_code:" &amp; IF(I142="■",1,IF(L142="■",2,0))</f>
        <v>25:yakinhaiti_code:0</v>
      </c>
    </row>
    <row r="143" spans="1:36" ht="18.75" customHeight="1" x14ac:dyDescent="0.15">
      <c r="A143" s="97"/>
      <c r="B143" s="119"/>
      <c r="C143" s="99"/>
      <c r="D143" s="100"/>
      <c r="E143" s="101"/>
      <c r="F143" s="102"/>
      <c r="G143" s="101"/>
      <c r="H143" s="203" t="s">
        <v>244</v>
      </c>
      <c r="I143" s="175" t="s">
        <v>196</v>
      </c>
      <c r="J143" s="136" t="s">
        <v>153</v>
      </c>
      <c r="K143" s="137"/>
      <c r="L143" s="139" t="s">
        <v>196</v>
      </c>
      <c r="M143" s="136" t="s">
        <v>161</v>
      </c>
      <c r="N143" s="212"/>
      <c r="O143" s="141"/>
      <c r="P143" s="141"/>
      <c r="Q143" s="141"/>
      <c r="R143" s="141"/>
      <c r="S143" s="141"/>
      <c r="T143" s="141"/>
      <c r="U143" s="141"/>
      <c r="V143" s="141"/>
      <c r="W143" s="141"/>
      <c r="X143" s="142"/>
      <c r="Y143" s="134"/>
      <c r="Z143" s="95"/>
      <c r="AA143" s="95"/>
      <c r="AB143" s="96"/>
      <c r="AC143" s="394"/>
      <c r="AD143" s="395"/>
      <c r="AE143" s="395"/>
      <c r="AF143" s="396"/>
      <c r="AI143" s="109" t="str">
        <f>"25:jyakuninti_uke_code:" &amp; IF(I143="■",1,IF(L143="■",2,0))</f>
        <v>25:jyakuninti_uke_code:0</v>
      </c>
    </row>
    <row r="144" spans="1:36" ht="18.75" customHeight="1" x14ac:dyDescent="0.15">
      <c r="A144" s="196" t="s">
        <v>196</v>
      </c>
      <c r="B144" s="119">
        <v>25</v>
      </c>
      <c r="C144" s="99" t="s">
        <v>248</v>
      </c>
      <c r="D144" s="196" t="s">
        <v>196</v>
      </c>
      <c r="E144" s="101" t="s">
        <v>195</v>
      </c>
      <c r="F144" s="102"/>
      <c r="G144" s="101"/>
      <c r="H144" s="203" t="s">
        <v>90</v>
      </c>
      <c r="I144" s="175" t="s">
        <v>196</v>
      </c>
      <c r="J144" s="136" t="s">
        <v>159</v>
      </c>
      <c r="K144" s="137"/>
      <c r="L144" s="138"/>
      <c r="M144" s="139" t="s">
        <v>196</v>
      </c>
      <c r="N144" s="136" t="s">
        <v>160</v>
      </c>
      <c r="O144" s="141"/>
      <c r="P144" s="141"/>
      <c r="Q144" s="141"/>
      <c r="R144" s="141"/>
      <c r="S144" s="141"/>
      <c r="T144" s="141"/>
      <c r="U144" s="141"/>
      <c r="V144" s="141"/>
      <c r="W144" s="141"/>
      <c r="X144" s="142"/>
      <c r="Y144" s="134"/>
      <c r="Z144" s="95"/>
      <c r="AA144" s="95"/>
      <c r="AB144" s="96"/>
      <c r="AC144" s="394"/>
      <c r="AD144" s="395"/>
      <c r="AE144" s="395"/>
      <c r="AF144" s="396"/>
      <c r="AI144" s="109" t="str">
        <f>"25:sougei_code:" &amp; IF(I144="■",1,IF(M144="■",2,0))</f>
        <v>25:sougei_code:0</v>
      </c>
    </row>
    <row r="145" spans="1:38" ht="19.5" customHeight="1" x14ac:dyDescent="0.15">
      <c r="A145" s="97"/>
      <c r="B145" s="119"/>
      <c r="C145" s="99"/>
      <c r="D145" s="100"/>
      <c r="E145" s="101"/>
      <c r="F145" s="102"/>
      <c r="G145" s="103"/>
      <c r="H145" s="104" t="s">
        <v>217</v>
      </c>
      <c r="I145" s="175" t="s">
        <v>196</v>
      </c>
      <c r="J145" s="136" t="s">
        <v>153</v>
      </c>
      <c r="K145" s="136"/>
      <c r="L145" s="139" t="s">
        <v>196</v>
      </c>
      <c r="M145" s="136" t="s">
        <v>161</v>
      </c>
      <c r="N145" s="136"/>
      <c r="O145" s="141"/>
      <c r="P145" s="136"/>
      <c r="Q145" s="141"/>
      <c r="R145" s="141"/>
      <c r="S145" s="141"/>
      <c r="T145" s="141"/>
      <c r="U145" s="141"/>
      <c r="V145" s="141"/>
      <c r="W145" s="141"/>
      <c r="X145" s="142"/>
      <c r="Y145" s="95"/>
      <c r="Z145" s="95"/>
      <c r="AA145" s="95"/>
      <c r="AB145" s="96"/>
      <c r="AC145" s="394"/>
      <c r="AD145" s="395"/>
      <c r="AE145" s="395"/>
      <c r="AF145" s="396"/>
      <c r="AI145" s="109" t="str">
        <f>"25:field224:" &amp; IF(I145="■",1,IF(L145="■",2,0))</f>
        <v>25:field224:0</v>
      </c>
    </row>
    <row r="146" spans="1:38" ht="18.75" customHeight="1" x14ac:dyDescent="0.15">
      <c r="A146" s="97"/>
      <c r="B146" s="119"/>
      <c r="C146" s="99"/>
      <c r="D146" s="100"/>
      <c r="E146" s="101"/>
      <c r="F146" s="102"/>
      <c r="G146" s="101"/>
      <c r="H146" s="203" t="s">
        <v>99</v>
      </c>
      <c r="I146" s="175" t="s">
        <v>196</v>
      </c>
      <c r="J146" s="136" t="s">
        <v>153</v>
      </c>
      <c r="K146" s="137"/>
      <c r="L146" s="139" t="s">
        <v>196</v>
      </c>
      <c r="M146" s="136" t="s">
        <v>161</v>
      </c>
      <c r="N146" s="212"/>
      <c r="O146" s="141"/>
      <c r="P146" s="141"/>
      <c r="Q146" s="141"/>
      <c r="R146" s="141"/>
      <c r="S146" s="141"/>
      <c r="T146" s="141"/>
      <c r="U146" s="141"/>
      <c r="V146" s="141"/>
      <c r="W146" s="141"/>
      <c r="X146" s="142"/>
      <c r="Y146" s="134"/>
      <c r="Z146" s="95"/>
      <c r="AA146" s="95"/>
      <c r="AB146" s="96"/>
      <c r="AC146" s="394"/>
      <c r="AD146" s="395"/>
      <c r="AE146" s="395"/>
      <c r="AF146" s="396"/>
      <c r="AI146" s="109" t="str">
        <f>"25:ryouyoushoku_code:" &amp; IF(I146="■",1,IF(L146="■",2,0))</f>
        <v>25:ryouyoushoku_code:0</v>
      </c>
    </row>
    <row r="147" spans="1:38" ht="18.75" customHeight="1" x14ac:dyDescent="0.15">
      <c r="A147" s="97"/>
      <c r="B147" s="119"/>
      <c r="C147" s="99"/>
      <c r="D147" s="100"/>
      <c r="E147" s="101"/>
      <c r="F147" s="102"/>
      <c r="G147" s="101"/>
      <c r="H147" s="203" t="s">
        <v>122</v>
      </c>
      <c r="I147" s="175" t="s">
        <v>196</v>
      </c>
      <c r="J147" s="136" t="s">
        <v>153</v>
      </c>
      <c r="K147" s="136"/>
      <c r="L147" s="139" t="s">
        <v>196</v>
      </c>
      <c r="M147" s="136" t="s">
        <v>154</v>
      </c>
      <c r="N147" s="136"/>
      <c r="O147" s="139" t="s">
        <v>196</v>
      </c>
      <c r="P147" s="136" t="s">
        <v>155</v>
      </c>
      <c r="Q147" s="141"/>
      <c r="R147" s="141"/>
      <c r="S147" s="141"/>
      <c r="T147" s="141"/>
      <c r="U147" s="141"/>
      <c r="V147" s="141"/>
      <c r="W147" s="141"/>
      <c r="X147" s="142"/>
      <c r="Y147" s="134"/>
      <c r="Z147" s="95"/>
      <c r="AA147" s="95"/>
      <c r="AB147" s="96"/>
      <c r="AC147" s="394"/>
      <c r="AD147" s="395"/>
      <c r="AE147" s="395"/>
      <c r="AF147" s="396"/>
      <c r="AI147" s="109" t="str">
        <f>"25:ninti_senmoncare_code:" &amp; IF(I147="■",1,IF(O147="■",3,IF(L147="■",2,0)))</f>
        <v>25:ninti_senmoncare_code:0</v>
      </c>
    </row>
    <row r="148" spans="1:38" ht="18.75" customHeight="1" x14ac:dyDescent="0.15">
      <c r="A148" s="97"/>
      <c r="B148" s="119"/>
      <c r="C148" s="99"/>
      <c r="D148" s="100"/>
      <c r="E148" s="101"/>
      <c r="F148" s="102"/>
      <c r="G148" s="101"/>
      <c r="H148" s="213" t="s">
        <v>224</v>
      </c>
      <c r="I148" s="175" t="s">
        <v>196</v>
      </c>
      <c r="J148" s="136" t="s">
        <v>153</v>
      </c>
      <c r="K148" s="136"/>
      <c r="L148" s="139" t="s">
        <v>196</v>
      </c>
      <c r="M148" s="136" t="s">
        <v>154</v>
      </c>
      <c r="N148" s="136"/>
      <c r="O148" s="139" t="s">
        <v>196</v>
      </c>
      <c r="P148" s="136" t="s">
        <v>155</v>
      </c>
      <c r="Q148" s="141"/>
      <c r="R148" s="141"/>
      <c r="S148" s="141"/>
      <c r="T148" s="141"/>
      <c r="U148" s="214"/>
      <c r="V148" s="214"/>
      <c r="W148" s="214"/>
      <c r="X148" s="215"/>
      <c r="Y148" s="134"/>
      <c r="Z148" s="95"/>
      <c r="AA148" s="95"/>
      <c r="AB148" s="96"/>
      <c r="AC148" s="394"/>
      <c r="AD148" s="395"/>
      <c r="AE148" s="395"/>
      <c r="AF148" s="396"/>
      <c r="AI148" s="109" t="str">
        <f>"25:field225:" &amp; IF(I148="■",1,IF(L148="■",2,IF(O148="■",3,0)))</f>
        <v>25:field225:0</v>
      </c>
    </row>
    <row r="149" spans="1:38" ht="18.75" customHeight="1" x14ac:dyDescent="0.15">
      <c r="A149" s="97"/>
      <c r="B149" s="119"/>
      <c r="C149" s="99"/>
      <c r="D149" s="100"/>
      <c r="E149" s="101"/>
      <c r="F149" s="102"/>
      <c r="G149" s="101"/>
      <c r="H149" s="203" t="s">
        <v>103</v>
      </c>
      <c r="I149" s="175" t="s">
        <v>196</v>
      </c>
      <c r="J149" s="136" t="s">
        <v>153</v>
      </c>
      <c r="K149" s="136"/>
      <c r="L149" s="139" t="s">
        <v>196</v>
      </c>
      <c r="M149" s="136" t="s">
        <v>157</v>
      </c>
      <c r="N149" s="136"/>
      <c r="O149" s="139" t="s">
        <v>196</v>
      </c>
      <c r="P149" s="136" t="s">
        <v>158</v>
      </c>
      <c r="Q149" s="212"/>
      <c r="R149" s="139" t="s">
        <v>196</v>
      </c>
      <c r="S149" s="136" t="s">
        <v>167</v>
      </c>
      <c r="T149" s="136"/>
      <c r="U149" s="212"/>
      <c r="V149" s="212"/>
      <c r="W149" s="212"/>
      <c r="X149" s="178"/>
      <c r="Y149" s="134"/>
      <c r="Z149" s="95"/>
      <c r="AA149" s="95"/>
      <c r="AB149" s="96"/>
      <c r="AC149" s="394"/>
      <c r="AD149" s="395"/>
      <c r="AE149" s="395"/>
      <c r="AF149" s="396"/>
      <c r="AI149" s="109" t="str">
        <f>"25:serteikyo_kyoka_code:" &amp; IF(I149="■",1,IF(L149="■",6,IF(O149="■",5,IF(R149="■",7,0))))</f>
        <v>25:serteikyo_kyoka_code:0</v>
      </c>
    </row>
    <row r="150" spans="1:38" ht="18.75" customHeight="1" x14ac:dyDescent="0.15">
      <c r="A150" s="97"/>
      <c r="B150" s="119"/>
      <c r="C150" s="99"/>
      <c r="D150" s="100"/>
      <c r="E150" s="101"/>
      <c r="F150" s="102"/>
      <c r="G150" s="101"/>
      <c r="H150" s="351" t="s">
        <v>238</v>
      </c>
      <c r="I150" s="390" t="s">
        <v>196</v>
      </c>
      <c r="J150" s="389" t="s">
        <v>153</v>
      </c>
      <c r="K150" s="389"/>
      <c r="L150" s="390" t="s">
        <v>196</v>
      </c>
      <c r="M150" s="389" t="s">
        <v>161</v>
      </c>
      <c r="N150" s="389"/>
      <c r="O150" s="147"/>
      <c r="P150" s="147"/>
      <c r="Q150" s="147"/>
      <c r="R150" s="147"/>
      <c r="S150" s="147"/>
      <c r="T150" s="147"/>
      <c r="U150" s="147"/>
      <c r="V150" s="147"/>
      <c r="W150" s="147"/>
      <c r="X150" s="151"/>
      <c r="Y150" s="134"/>
      <c r="Z150" s="95"/>
      <c r="AA150" s="95"/>
      <c r="AB150" s="96"/>
      <c r="AC150" s="394"/>
      <c r="AD150" s="395"/>
      <c r="AE150" s="395"/>
      <c r="AF150" s="396"/>
      <c r="AI150" s="109" t="str">
        <f>"25:field221:" &amp; IF(I150="■",1,IF(L150="■",2,0))</f>
        <v>25:field221:0</v>
      </c>
    </row>
    <row r="151" spans="1:38" ht="18.75" customHeight="1" x14ac:dyDescent="0.15">
      <c r="A151" s="97"/>
      <c r="B151" s="119"/>
      <c r="C151" s="99"/>
      <c r="D151" s="100"/>
      <c r="E151" s="101"/>
      <c r="F151" s="102"/>
      <c r="G151" s="101"/>
      <c r="H151" s="352"/>
      <c r="I151" s="390"/>
      <c r="J151" s="389"/>
      <c r="K151" s="389"/>
      <c r="L151" s="390"/>
      <c r="M151" s="389"/>
      <c r="N151" s="389"/>
      <c r="O151" s="105"/>
      <c r="P151" s="105"/>
      <c r="Q151" s="105"/>
      <c r="R151" s="105"/>
      <c r="S151" s="105"/>
      <c r="T151" s="105"/>
      <c r="U151" s="105"/>
      <c r="V151" s="105"/>
      <c r="W151" s="105"/>
      <c r="X151" s="149"/>
      <c r="Y151" s="134"/>
      <c r="Z151" s="95"/>
      <c r="AA151" s="95"/>
      <c r="AB151" s="96"/>
      <c r="AC151" s="394"/>
      <c r="AD151" s="395"/>
      <c r="AE151" s="395"/>
      <c r="AF151" s="396"/>
    </row>
    <row r="152" spans="1:38" ht="18.75" customHeight="1" x14ac:dyDescent="0.15">
      <c r="A152" s="156"/>
      <c r="B152" s="231"/>
      <c r="C152" s="158"/>
      <c r="D152" s="159"/>
      <c r="E152" s="160"/>
      <c r="F152" s="161"/>
      <c r="G152" s="162"/>
      <c r="H152" s="85" t="s">
        <v>234</v>
      </c>
      <c r="I152" s="163" t="s">
        <v>196</v>
      </c>
      <c r="J152" s="86" t="s">
        <v>153</v>
      </c>
      <c r="K152" s="86"/>
      <c r="L152" s="164" t="s">
        <v>196</v>
      </c>
      <c r="M152" s="86" t="s">
        <v>218</v>
      </c>
      <c r="N152" s="87"/>
      <c r="O152" s="164" t="s">
        <v>196</v>
      </c>
      <c r="P152" s="89" t="s">
        <v>219</v>
      </c>
      <c r="Q152" s="88"/>
      <c r="R152" s="164" t="s">
        <v>196</v>
      </c>
      <c r="S152" s="86" t="s">
        <v>220</v>
      </c>
      <c r="T152" s="88"/>
      <c r="U152" s="164" t="s">
        <v>196</v>
      </c>
      <c r="V152" s="86" t="s">
        <v>221</v>
      </c>
      <c r="W152" s="90"/>
      <c r="X152" s="91"/>
      <c r="Y152" s="165"/>
      <c r="Z152" s="165"/>
      <c r="AA152" s="165"/>
      <c r="AB152" s="166"/>
      <c r="AC152" s="397"/>
      <c r="AD152" s="398"/>
      <c r="AE152" s="398"/>
      <c r="AF152" s="399"/>
      <c r="AG152" s="109"/>
      <c r="AH152" s="109"/>
      <c r="AI152" s="109" t="str">
        <f>"25:shoguukaizen_code:"&amp;IF(I152="■",1,IF(L152="■",7,IF(O152="■",8,IF(R152="■",9,IF(U152="■","A",0)))))</f>
        <v>25:shoguukaizen_code:0</v>
      </c>
    </row>
    <row r="153" spans="1:38" s="118" customFormat="1" ht="20.25" customHeight="1" x14ac:dyDescent="0.15">
      <c r="C153" s="146"/>
      <c r="D153" s="146"/>
      <c r="E153" s="146"/>
      <c r="F153" s="146"/>
      <c r="G153" s="146"/>
      <c r="H153" s="146"/>
      <c r="I153" s="146"/>
      <c r="J153" s="146"/>
      <c r="K153" s="146"/>
      <c r="L153" s="146"/>
      <c r="M153" s="146"/>
      <c r="N153" s="146"/>
      <c r="O153" s="146"/>
      <c r="P153" s="146"/>
      <c r="Q153" s="146"/>
      <c r="R153" s="146"/>
      <c r="S153" s="146"/>
      <c r="T153" s="146"/>
      <c r="U153" s="146"/>
      <c r="V153" s="146"/>
      <c r="W153" s="146"/>
      <c r="X153" s="146"/>
      <c r="Y153" s="146"/>
      <c r="Z153" s="146"/>
      <c r="AA153" s="146"/>
      <c r="AB153" s="146"/>
      <c r="AC153" s="146"/>
      <c r="AD153" s="146"/>
      <c r="AE153" s="146"/>
      <c r="AF153" s="146"/>
      <c r="AG153" s="146"/>
      <c r="AH153" s="146"/>
      <c r="AI153" s="146"/>
      <c r="AJ153" s="146"/>
      <c r="AK153" s="146"/>
      <c r="AL153" s="146"/>
    </row>
  </sheetData>
  <mergeCells count="75">
    <mergeCell ref="AC135:AF152"/>
    <mergeCell ref="H136:H137"/>
    <mergeCell ref="H150:H151"/>
    <mergeCell ref="I150:I151"/>
    <mergeCell ref="J150:K151"/>
    <mergeCell ref="L150:L151"/>
    <mergeCell ref="M150:N151"/>
    <mergeCell ref="AC116:AF134"/>
    <mergeCell ref="H117:H118"/>
    <mergeCell ref="H132:H133"/>
    <mergeCell ref="I132:I133"/>
    <mergeCell ref="J132:K133"/>
    <mergeCell ref="L132:L133"/>
    <mergeCell ref="M132:N133"/>
    <mergeCell ref="AC94:AF115"/>
    <mergeCell ref="H95:H96"/>
    <mergeCell ref="H113:H114"/>
    <mergeCell ref="I113:I114"/>
    <mergeCell ref="J113:K114"/>
    <mergeCell ref="L113:L114"/>
    <mergeCell ref="M113:N114"/>
    <mergeCell ref="AC71:AF93"/>
    <mergeCell ref="H72:H73"/>
    <mergeCell ref="H91:H92"/>
    <mergeCell ref="I91:I92"/>
    <mergeCell ref="J91:K92"/>
    <mergeCell ref="L91:L92"/>
    <mergeCell ref="M91:N92"/>
    <mergeCell ref="AC52:AF70"/>
    <mergeCell ref="H53:H54"/>
    <mergeCell ref="H68:H69"/>
    <mergeCell ref="I68:I69"/>
    <mergeCell ref="J68:K69"/>
    <mergeCell ref="L68:L69"/>
    <mergeCell ref="M68:N69"/>
    <mergeCell ref="AC32:AF51"/>
    <mergeCell ref="H33:H34"/>
    <mergeCell ref="H49:H50"/>
    <mergeCell ref="I49:I50"/>
    <mergeCell ref="J49:K50"/>
    <mergeCell ref="L49:L50"/>
    <mergeCell ref="M49:N50"/>
    <mergeCell ref="A9:C10"/>
    <mergeCell ref="H9:H10"/>
    <mergeCell ref="Y9:AB10"/>
    <mergeCell ref="AC9:AF10"/>
    <mergeCell ref="AC11:AF19"/>
    <mergeCell ref="H14:H15"/>
    <mergeCell ref="I14:I15"/>
    <mergeCell ref="J14:L15"/>
    <mergeCell ref="M14:M15"/>
    <mergeCell ref="N14:P15"/>
    <mergeCell ref="H16:H17"/>
    <mergeCell ref="I16:I17"/>
    <mergeCell ref="Y8:AB8"/>
    <mergeCell ref="H20:H21"/>
    <mergeCell ref="AC20:AF31"/>
    <mergeCell ref="J28:K28"/>
    <mergeCell ref="M28:N28"/>
    <mergeCell ref="J16:L17"/>
    <mergeCell ref="M16:M17"/>
    <mergeCell ref="N16:P17"/>
    <mergeCell ref="AC8:AF8"/>
    <mergeCell ref="A3:AF3"/>
    <mergeCell ref="I5:M5"/>
    <mergeCell ref="N5:W5"/>
    <mergeCell ref="X5:Z5"/>
    <mergeCell ref="AA5:AF5"/>
    <mergeCell ref="I6:M6"/>
    <mergeCell ref="N6:W6"/>
    <mergeCell ref="X6:Z6"/>
    <mergeCell ref="A8:C8"/>
    <mergeCell ref="D8:E8"/>
    <mergeCell ref="F8:G8"/>
    <mergeCell ref="H8:X8"/>
  </mergeCells>
  <phoneticPr fontId="1"/>
  <conditionalFormatting sqref="A7:AF10 A20:AF1048576">
    <cfRule type="expression" dxfId="3" priority="4">
      <formula>CELL("protect",A7)=0</formula>
    </cfRule>
  </conditionalFormatting>
  <conditionalFormatting sqref="A1:AF4">
    <cfRule type="expression" dxfId="2" priority="3">
      <formula>CELL("protect",A1)=0</formula>
    </cfRule>
  </conditionalFormatting>
  <conditionalFormatting sqref="A11:AF19">
    <cfRule type="expression" dxfId="1" priority="1">
      <formula>CELL("protect",A11)=0</formula>
    </cfRule>
  </conditionalFormatting>
  <dataValidations count="1">
    <dataValidation type="list" allowBlank="1" showInputMessage="1" showErrorMessage="1" sqref="M20:M23 Q33:Q34 U33 L40:L42 O42 R48 Y32:Y33 Q72:Q73 U72 L79:L80 M81 O89:O90 R90 P82 O87 S88 Y71:Y72 M43 Q117:Q118 U117 L124:L125 R131 Y116:Y117 F42:F43 A25 A42 M126 O46:O48 N88 O129:O131 L83:L87 M116:M123 L111:L115 U93 D24:D26 A144 A81 A125 Q20:Q21 U152 L63:L70 Y20:Y21 O30:O31 L24:L31 R30:R31 U31 U51 O51 R51 O93 R93 O134 R134 D42 L44:L51 Q53:Q54 U53 L59:L61 O61 R67 Y52:Y53 M62 F61:F62 A61 O65:O67 M52:M58 U70 O70 R70 M32:M39 D81:D82 L89:L93 Q95:Q96 U95 L101:L102 M103 O111:O112 R112 P104 O109 S110 Y94:Y95 N110 L105:L109 M71:M78 U115 A103 M94:M100 O115 R115 D103:D104 L145:L152 U134 L127:L134 Q136:Q137 U136 L142:L143 R149 Y135:Y136 M144 O147:O149 D125 D144 M135:M141 O152 R152 D61 I9:I152 Q9:Q10 M9:M12 U9:U10 U20 L13 O19 M14:M17 A15 L18:L19 D14:D16 Y11:Y12" xr:uid="{55BC526A-6388-46D6-B6D1-9D0B32A5F426}">
      <formula1>"□,■"</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6" manualBreakCount="6">
    <brk id="19" max="31" man="1"/>
    <brk id="31" max="31" man="1"/>
    <brk id="51" max="31" man="1"/>
    <brk id="70" max="31" man="1"/>
    <brk id="93" max="31" man="1"/>
    <brk id="115" max="31" man="1"/>
  </rowBreaks>
  <extLst>
    <ext xmlns:x14="http://schemas.microsoft.com/office/spreadsheetml/2009/9/main" uri="{78C0D931-6437-407d-A8EE-F0AAD7539E65}">
      <x14:conditionalFormattings>
        <x14:conditionalFormatting xmlns:xm="http://schemas.microsoft.com/office/excel/2006/main">
          <x14:cfRule type="expression" priority="2" id="{599C295B-C00E-4FEA-8388-609F94E757A7}">
            <xm:f>CELL("protect",'\\fk13sv01\FileSV\健康福祉部\福祉指導監査課\☆福祉指導監査課☆\05 指定居宅サービス等関係\17 報酬改定\R7_報酬改定\070331 電子申請届出システムに用いる体制表（確定版）につきまして\[（修正版）体制等状況一覧表20250328_012.xlsx]居宅'!#REF!)=0</xm:f>
            <x14:dxf>
              <fill>
                <patternFill>
                  <bgColor theme="9" tint="0.79998168889431442"/>
                </patternFill>
              </fill>
            </x14:dxf>
          </x14:cfRule>
          <xm:sqref>A5:AF6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655FF-3429-42EF-9388-9B6F2850197D}">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07" t="s">
        <v>70</v>
      </c>
      <c r="AA3" s="408"/>
      <c r="AB3" s="408"/>
      <c r="AC3" s="408"/>
      <c r="AD3" s="409"/>
      <c r="AE3" s="505"/>
      <c r="AF3" s="506"/>
      <c r="AG3" s="506"/>
      <c r="AH3" s="506"/>
      <c r="AI3" s="506"/>
      <c r="AJ3" s="506"/>
      <c r="AK3" s="506"/>
      <c r="AL3" s="507"/>
      <c r="AM3" s="20"/>
      <c r="AN3" s="1"/>
    </row>
    <row r="4" spans="2:40" s="2" customFormat="1" x14ac:dyDescent="0.15">
      <c r="AN4" s="21"/>
    </row>
    <row r="5" spans="2:40" s="2" customFormat="1" x14ac:dyDescent="0.15">
      <c r="B5" s="508" t="s">
        <v>42</v>
      </c>
      <c r="C5" s="508"/>
      <c r="D5" s="508"/>
      <c r="E5" s="508"/>
      <c r="F5" s="508"/>
      <c r="G5" s="508"/>
      <c r="H5" s="508"/>
      <c r="I5" s="508"/>
      <c r="J5" s="508"/>
      <c r="K5" s="508"/>
      <c r="L5" s="508"/>
      <c r="M5" s="508"/>
      <c r="N5" s="508"/>
      <c r="O5" s="508"/>
      <c r="P5" s="508"/>
      <c r="Q5" s="508"/>
      <c r="R5" s="508"/>
      <c r="S5" s="508"/>
      <c r="T5" s="508"/>
      <c r="U5" s="508"/>
      <c r="V5" s="508"/>
      <c r="W5" s="508"/>
      <c r="X5" s="508"/>
      <c r="Y5" s="508"/>
      <c r="Z5" s="508"/>
      <c r="AA5" s="508"/>
      <c r="AB5" s="508"/>
      <c r="AC5" s="508"/>
      <c r="AD5" s="508"/>
      <c r="AE5" s="508"/>
      <c r="AF5" s="508"/>
      <c r="AG5" s="508"/>
      <c r="AH5" s="508"/>
      <c r="AI5" s="508"/>
      <c r="AJ5" s="508"/>
      <c r="AK5" s="508"/>
      <c r="AL5" s="508"/>
    </row>
    <row r="6" spans="2:40" s="2" customFormat="1" ht="13.5" customHeight="1" x14ac:dyDescent="0.15">
      <c r="AC6" s="1"/>
      <c r="AD6" s="45"/>
      <c r="AE6" s="45" t="s">
        <v>29</v>
      </c>
      <c r="AH6" s="2" t="s">
        <v>35</v>
      </c>
      <c r="AJ6" s="2" t="s">
        <v>31</v>
      </c>
      <c r="AL6" s="2" t="s">
        <v>30</v>
      </c>
    </row>
    <row r="7" spans="2:40" s="2" customFormat="1" x14ac:dyDescent="0.15">
      <c r="B7" s="508" t="s">
        <v>71</v>
      </c>
      <c r="C7" s="508"/>
      <c r="D7" s="508"/>
      <c r="E7" s="508"/>
      <c r="F7" s="508"/>
      <c r="G7" s="508"/>
      <c r="H7" s="508"/>
      <c r="I7" s="508"/>
      <c r="J7" s="508"/>
      <c r="K7" s="12"/>
      <c r="L7" s="12"/>
      <c r="M7" s="12"/>
      <c r="N7" s="12"/>
      <c r="O7" s="12"/>
      <c r="P7" s="12"/>
      <c r="Q7" s="12"/>
      <c r="R7" s="12"/>
      <c r="S7" s="12"/>
      <c r="T7" s="12"/>
    </row>
    <row r="8" spans="2:40" s="2" customFormat="1" x14ac:dyDescent="0.15">
      <c r="AC8" s="1" t="s">
        <v>63</v>
      </c>
    </row>
    <row r="9" spans="2:40" s="2" customFormat="1" x14ac:dyDescent="0.15">
      <c r="C9" s="1" t="s">
        <v>43</v>
      </c>
      <c r="D9" s="1"/>
    </row>
    <row r="10" spans="2:40" s="2" customFormat="1" ht="6.75" customHeight="1" x14ac:dyDescent="0.15">
      <c r="C10" s="1"/>
      <c r="D10" s="1"/>
    </row>
    <row r="11" spans="2:40" s="2" customFormat="1" ht="14.25" customHeight="1" x14ac:dyDescent="0.15">
      <c r="B11" s="414" t="s">
        <v>72</v>
      </c>
      <c r="C11" s="482" t="s">
        <v>7</v>
      </c>
      <c r="D11" s="483"/>
      <c r="E11" s="483"/>
      <c r="F11" s="483"/>
      <c r="G11" s="483"/>
      <c r="H11" s="483"/>
      <c r="I11" s="483"/>
      <c r="J11" s="483"/>
      <c r="K11" s="49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15"/>
      <c r="C12" s="485" t="s">
        <v>73</v>
      </c>
      <c r="D12" s="486"/>
      <c r="E12" s="486"/>
      <c r="F12" s="486"/>
      <c r="G12" s="486"/>
      <c r="H12" s="486"/>
      <c r="I12" s="486"/>
      <c r="J12" s="486"/>
      <c r="K12" s="48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15"/>
      <c r="C13" s="482" t="s">
        <v>8</v>
      </c>
      <c r="D13" s="483"/>
      <c r="E13" s="483"/>
      <c r="F13" s="483"/>
      <c r="G13" s="483"/>
      <c r="H13" s="483"/>
      <c r="I13" s="483"/>
      <c r="J13" s="483"/>
      <c r="K13" s="484"/>
      <c r="L13" s="472" t="s">
        <v>74</v>
      </c>
      <c r="M13" s="473"/>
      <c r="N13" s="473"/>
      <c r="O13" s="473"/>
      <c r="P13" s="473"/>
      <c r="Q13" s="473"/>
      <c r="R13" s="473"/>
      <c r="S13" s="473"/>
      <c r="T13" s="473"/>
      <c r="U13" s="473"/>
      <c r="V13" s="473"/>
      <c r="W13" s="473"/>
      <c r="X13" s="473"/>
      <c r="Y13" s="473"/>
      <c r="Z13" s="473"/>
      <c r="AA13" s="473"/>
      <c r="AB13" s="473"/>
      <c r="AC13" s="473"/>
      <c r="AD13" s="473"/>
      <c r="AE13" s="473"/>
      <c r="AF13" s="473"/>
      <c r="AG13" s="473"/>
      <c r="AH13" s="473"/>
      <c r="AI13" s="473"/>
      <c r="AJ13" s="473"/>
      <c r="AK13" s="473"/>
      <c r="AL13" s="474"/>
    </row>
    <row r="14" spans="2:40" s="2" customFormat="1" x14ac:dyDescent="0.15">
      <c r="B14" s="415"/>
      <c r="C14" s="485"/>
      <c r="D14" s="486"/>
      <c r="E14" s="486"/>
      <c r="F14" s="486"/>
      <c r="G14" s="486"/>
      <c r="H14" s="486"/>
      <c r="I14" s="486"/>
      <c r="J14" s="486"/>
      <c r="K14" s="487"/>
      <c r="L14" s="475" t="s">
        <v>75</v>
      </c>
      <c r="M14" s="476"/>
      <c r="N14" s="476"/>
      <c r="O14" s="476"/>
      <c r="P14" s="476"/>
      <c r="Q14" s="476"/>
      <c r="R14" s="476"/>
      <c r="S14" s="476"/>
      <c r="T14" s="476"/>
      <c r="U14" s="476"/>
      <c r="V14" s="476"/>
      <c r="W14" s="476"/>
      <c r="X14" s="476"/>
      <c r="Y14" s="476"/>
      <c r="Z14" s="476"/>
      <c r="AA14" s="476"/>
      <c r="AB14" s="476"/>
      <c r="AC14" s="476"/>
      <c r="AD14" s="476"/>
      <c r="AE14" s="476"/>
      <c r="AF14" s="476"/>
      <c r="AG14" s="476"/>
      <c r="AH14" s="476"/>
      <c r="AI14" s="476"/>
      <c r="AJ14" s="476"/>
      <c r="AK14" s="476"/>
      <c r="AL14" s="477"/>
    </row>
    <row r="15" spans="2:40" s="2" customFormat="1" x14ac:dyDescent="0.15">
      <c r="B15" s="415"/>
      <c r="C15" s="488"/>
      <c r="D15" s="489"/>
      <c r="E15" s="489"/>
      <c r="F15" s="489"/>
      <c r="G15" s="489"/>
      <c r="H15" s="489"/>
      <c r="I15" s="489"/>
      <c r="J15" s="489"/>
      <c r="K15" s="490"/>
      <c r="L15" s="501" t="s">
        <v>76</v>
      </c>
      <c r="M15" s="480"/>
      <c r="N15" s="480"/>
      <c r="O15" s="480"/>
      <c r="P15" s="480"/>
      <c r="Q15" s="480"/>
      <c r="R15" s="480"/>
      <c r="S15" s="480"/>
      <c r="T15" s="480"/>
      <c r="U15" s="480"/>
      <c r="V15" s="480"/>
      <c r="W15" s="480"/>
      <c r="X15" s="480"/>
      <c r="Y15" s="480"/>
      <c r="Z15" s="480"/>
      <c r="AA15" s="480"/>
      <c r="AB15" s="480"/>
      <c r="AC15" s="480"/>
      <c r="AD15" s="480"/>
      <c r="AE15" s="480"/>
      <c r="AF15" s="480"/>
      <c r="AG15" s="480"/>
      <c r="AH15" s="480"/>
      <c r="AI15" s="480"/>
      <c r="AJ15" s="480"/>
      <c r="AK15" s="480"/>
      <c r="AL15" s="481"/>
    </row>
    <row r="16" spans="2:40" s="2" customFormat="1" ht="14.25" customHeight="1" x14ac:dyDescent="0.15">
      <c r="B16" s="415"/>
      <c r="C16" s="502" t="s">
        <v>77</v>
      </c>
      <c r="D16" s="503"/>
      <c r="E16" s="503"/>
      <c r="F16" s="503"/>
      <c r="G16" s="503"/>
      <c r="H16" s="503"/>
      <c r="I16" s="503"/>
      <c r="J16" s="503"/>
      <c r="K16" s="504"/>
      <c r="L16" s="407" t="s">
        <v>9</v>
      </c>
      <c r="M16" s="408"/>
      <c r="N16" s="408"/>
      <c r="O16" s="408"/>
      <c r="P16" s="409"/>
      <c r="Q16" s="24"/>
      <c r="R16" s="25"/>
      <c r="S16" s="25"/>
      <c r="T16" s="25"/>
      <c r="U16" s="25"/>
      <c r="V16" s="25"/>
      <c r="W16" s="25"/>
      <c r="X16" s="25"/>
      <c r="Y16" s="26"/>
      <c r="Z16" s="492" t="s">
        <v>10</v>
      </c>
      <c r="AA16" s="493"/>
      <c r="AB16" s="493"/>
      <c r="AC16" s="493"/>
      <c r="AD16" s="494"/>
      <c r="AE16" s="28"/>
      <c r="AF16" s="32"/>
      <c r="AG16" s="22"/>
      <c r="AH16" s="22"/>
      <c r="AI16" s="22"/>
      <c r="AJ16" s="473"/>
      <c r="AK16" s="473"/>
      <c r="AL16" s="474"/>
    </row>
    <row r="17" spans="2:40" ht="14.25" customHeight="1" x14ac:dyDescent="0.15">
      <c r="B17" s="415"/>
      <c r="C17" s="497" t="s">
        <v>54</v>
      </c>
      <c r="D17" s="498"/>
      <c r="E17" s="498"/>
      <c r="F17" s="498"/>
      <c r="G17" s="498"/>
      <c r="H17" s="498"/>
      <c r="I17" s="498"/>
      <c r="J17" s="498"/>
      <c r="K17" s="499"/>
      <c r="L17" s="27"/>
      <c r="M17" s="27"/>
      <c r="N17" s="27"/>
      <c r="O17" s="27"/>
      <c r="P17" s="27"/>
      <c r="Q17" s="27"/>
      <c r="R17" s="27"/>
      <c r="S17" s="27"/>
      <c r="U17" s="407" t="s">
        <v>11</v>
      </c>
      <c r="V17" s="408"/>
      <c r="W17" s="408"/>
      <c r="X17" s="408"/>
      <c r="Y17" s="409"/>
      <c r="Z17" s="18"/>
      <c r="AA17" s="19"/>
      <c r="AB17" s="19"/>
      <c r="AC17" s="19"/>
      <c r="AD17" s="19"/>
      <c r="AE17" s="500"/>
      <c r="AF17" s="500"/>
      <c r="AG17" s="500"/>
      <c r="AH17" s="500"/>
      <c r="AI17" s="500"/>
      <c r="AJ17" s="500"/>
      <c r="AK17" s="500"/>
      <c r="AL17" s="17"/>
      <c r="AN17" s="3"/>
    </row>
    <row r="18" spans="2:40" ht="14.25" customHeight="1" x14ac:dyDescent="0.15">
      <c r="B18" s="415"/>
      <c r="C18" s="410" t="s">
        <v>12</v>
      </c>
      <c r="D18" s="410"/>
      <c r="E18" s="410"/>
      <c r="F18" s="410"/>
      <c r="G18" s="410"/>
      <c r="H18" s="512"/>
      <c r="I18" s="512"/>
      <c r="J18" s="512"/>
      <c r="K18" s="513"/>
      <c r="L18" s="407" t="s">
        <v>13</v>
      </c>
      <c r="M18" s="408"/>
      <c r="N18" s="408"/>
      <c r="O18" s="408"/>
      <c r="P18" s="409"/>
      <c r="Q18" s="29"/>
      <c r="R18" s="30"/>
      <c r="S18" s="30"/>
      <c r="T18" s="30"/>
      <c r="U18" s="30"/>
      <c r="V18" s="30"/>
      <c r="W18" s="30"/>
      <c r="X18" s="30"/>
      <c r="Y18" s="31"/>
      <c r="Z18" s="418" t="s">
        <v>14</v>
      </c>
      <c r="AA18" s="418"/>
      <c r="AB18" s="418"/>
      <c r="AC18" s="418"/>
      <c r="AD18" s="419"/>
      <c r="AE18" s="15"/>
      <c r="AF18" s="16"/>
      <c r="AG18" s="16"/>
      <c r="AH18" s="16"/>
      <c r="AI18" s="16"/>
      <c r="AJ18" s="16"/>
      <c r="AK18" s="16"/>
      <c r="AL18" s="17"/>
      <c r="AN18" s="3"/>
    </row>
    <row r="19" spans="2:40" ht="13.5" customHeight="1" x14ac:dyDescent="0.15">
      <c r="B19" s="415"/>
      <c r="C19" s="470" t="s">
        <v>15</v>
      </c>
      <c r="D19" s="470"/>
      <c r="E19" s="470"/>
      <c r="F19" s="470"/>
      <c r="G19" s="470"/>
      <c r="H19" s="509"/>
      <c r="I19" s="509"/>
      <c r="J19" s="509"/>
      <c r="K19" s="509"/>
      <c r="L19" s="472" t="s">
        <v>74</v>
      </c>
      <c r="M19" s="473"/>
      <c r="N19" s="473"/>
      <c r="O19" s="473"/>
      <c r="P19" s="473"/>
      <c r="Q19" s="473"/>
      <c r="R19" s="473"/>
      <c r="S19" s="473"/>
      <c r="T19" s="473"/>
      <c r="U19" s="473"/>
      <c r="V19" s="473"/>
      <c r="W19" s="473"/>
      <c r="X19" s="473"/>
      <c r="Y19" s="473"/>
      <c r="Z19" s="473"/>
      <c r="AA19" s="473"/>
      <c r="AB19" s="473"/>
      <c r="AC19" s="473"/>
      <c r="AD19" s="473"/>
      <c r="AE19" s="473"/>
      <c r="AF19" s="473"/>
      <c r="AG19" s="473"/>
      <c r="AH19" s="473"/>
      <c r="AI19" s="473"/>
      <c r="AJ19" s="473"/>
      <c r="AK19" s="473"/>
      <c r="AL19" s="474"/>
      <c r="AN19" s="3"/>
    </row>
    <row r="20" spans="2:40" ht="14.25" customHeight="1" x14ac:dyDescent="0.15">
      <c r="B20" s="415"/>
      <c r="C20" s="470"/>
      <c r="D20" s="470"/>
      <c r="E20" s="470"/>
      <c r="F20" s="470"/>
      <c r="G20" s="470"/>
      <c r="H20" s="509"/>
      <c r="I20" s="509"/>
      <c r="J20" s="509"/>
      <c r="K20" s="509"/>
      <c r="L20" s="475" t="s">
        <v>75</v>
      </c>
      <c r="M20" s="476"/>
      <c r="N20" s="476"/>
      <c r="O20" s="476"/>
      <c r="P20" s="476"/>
      <c r="Q20" s="476"/>
      <c r="R20" s="476"/>
      <c r="S20" s="476"/>
      <c r="T20" s="476"/>
      <c r="U20" s="476"/>
      <c r="V20" s="476"/>
      <c r="W20" s="476"/>
      <c r="X20" s="476"/>
      <c r="Y20" s="476"/>
      <c r="Z20" s="476"/>
      <c r="AA20" s="476"/>
      <c r="AB20" s="476"/>
      <c r="AC20" s="476"/>
      <c r="AD20" s="476"/>
      <c r="AE20" s="476"/>
      <c r="AF20" s="476"/>
      <c r="AG20" s="476"/>
      <c r="AH20" s="476"/>
      <c r="AI20" s="476"/>
      <c r="AJ20" s="476"/>
      <c r="AK20" s="476"/>
      <c r="AL20" s="477"/>
      <c r="AN20" s="3"/>
    </row>
    <row r="21" spans="2:40" x14ac:dyDescent="0.15">
      <c r="B21" s="416"/>
      <c r="C21" s="510"/>
      <c r="D21" s="510"/>
      <c r="E21" s="510"/>
      <c r="F21" s="510"/>
      <c r="G21" s="510"/>
      <c r="H21" s="511"/>
      <c r="I21" s="511"/>
      <c r="J21" s="511"/>
      <c r="K21" s="511"/>
      <c r="L21" s="478"/>
      <c r="M21" s="479"/>
      <c r="N21" s="479"/>
      <c r="O21" s="479"/>
      <c r="P21" s="479"/>
      <c r="Q21" s="479"/>
      <c r="R21" s="479"/>
      <c r="S21" s="479"/>
      <c r="T21" s="479"/>
      <c r="U21" s="479"/>
      <c r="V21" s="479"/>
      <c r="W21" s="479"/>
      <c r="X21" s="479"/>
      <c r="Y21" s="479"/>
      <c r="Z21" s="479"/>
      <c r="AA21" s="479"/>
      <c r="AB21" s="479"/>
      <c r="AC21" s="479"/>
      <c r="AD21" s="479"/>
      <c r="AE21" s="479"/>
      <c r="AF21" s="479"/>
      <c r="AG21" s="479"/>
      <c r="AH21" s="479"/>
      <c r="AI21" s="479"/>
      <c r="AJ21" s="479"/>
      <c r="AK21" s="479"/>
      <c r="AL21" s="491"/>
      <c r="AN21" s="3"/>
    </row>
    <row r="22" spans="2:40" ht="13.5" customHeight="1" x14ac:dyDescent="0.15">
      <c r="B22" s="434" t="s">
        <v>78</v>
      </c>
      <c r="C22" s="482" t="s">
        <v>109</v>
      </c>
      <c r="D22" s="483"/>
      <c r="E22" s="483"/>
      <c r="F22" s="483"/>
      <c r="G22" s="483"/>
      <c r="H22" s="483"/>
      <c r="I22" s="483"/>
      <c r="J22" s="483"/>
      <c r="K22" s="484"/>
      <c r="L22" s="472" t="s">
        <v>74</v>
      </c>
      <c r="M22" s="473"/>
      <c r="N22" s="473"/>
      <c r="O22" s="473"/>
      <c r="P22" s="473"/>
      <c r="Q22" s="473"/>
      <c r="R22" s="473"/>
      <c r="S22" s="473"/>
      <c r="T22" s="473"/>
      <c r="U22" s="473"/>
      <c r="V22" s="473"/>
      <c r="W22" s="473"/>
      <c r="X22" s="473"/>
      <c r="Y22" s="473"/>
      <c r="Z22" s="473"/>
      <c r="AA22" s="473"/>
      <c r="AB22" s="473"/>
      <c r="AC22" s="473"/>
      <c r="AD22" s="473"/>
      <c r="AE22" s="473"/>
      <c r="AF22" s="473"/>
      <c r="AG22" s="473"/>
      <c r="AH22" s="473"/>
      <c r="AI22" s="473"/>
      <c r="AJ22" s="473"/>
      <c r="AK22" s="473"/>
      <c r="AL22" s="474"/>
      <c r="AN22" s="3"/>
    </row>
    <row r="23" spans="2:40" ht="14.25" customHeight="1" x14ac:dyDescent="0.15">
      <c r="B23" s="435"/>
      <c r="C23" s="485"/>
      <c r="D23" s="486"/>
      <c r="E23" s="486"/>
      <c r="F23" s="486"/>
      <c r="G23" s="486"/>
      <c r="H23" s="486"/>
      <c r="I23" s="486"/>
      <c r="J23" s="486"/>
      <c r="K23" s="487"/>
      <c r="L23" s="475" t="s">
        <v>75</v>
      </c>
      <c r="M23" s="476"/>
      <c r="N23" s="476"/>
      <c r="O23" s="476"/>
      <c r="P23" s="476"/>
      <c r="Q23" s="476"/>
      <c r="R23" s="476"/>
      <c r="S23" s="476"/>
      <c r="T23" s="476"/>
      <c r="U23" s="476"/>
      <c r="V23" s="476"/>
      <c r="W23" s="476"/>
      <c r="X23" s="476"/>
      <c r="Y23" s="476"/>
      <c r="Z23" s="476"/>
      <c r="AA23" s="476"/>
      <c r="AB23" s="476"/>
      <c r="AC23" s="476"/>
      <c r="AD23" s="476"/>
      <c r="AE23" s="476"/>
      <c r="AF23" s="476"/>
      <c r="AG23" s="476"/>
      <c r="AH23" s="476"/>
      <c r="AI23" s="476"/>
      <c r="AJ23" s="476"/>
      <c r="AK23" s="476"/>
      <c r="AL23" s="477"/>
      <c r="AN23" s="3"/>
    </row>
    <row r="24" spans="2:40" x14ac:dyDescent="0.15">
      <c r="B24" s="435"/>
      <c r="C24" s="488"/>
      <c r="D24" s="489"/>
      <c r="E24" s="489"/>
      <c r="F24" s="489"/>
      <c r="G24" s="489"/>
      <c r="H24" s="489"/>
      <c r="I24" s="489"/>
      <c r="J24" s="489"/>
      <c r="K24" s="490"/>
      <c r="L24" s="478"/>
      <c r="M24" s="479"/>
      <c r="N24" s="479"/>
      <c r="O24" s="479"/>
      <c r="P24" s="479"/>
      <c r="Q24" s="479"/>
      <c r="R24" s="479"/>
      <c r="S24" s="479"/>
      <c r="T24" s="479"/>
      <c r="U24" s="479"/>
      <c r="V24" s="479"/>
      <c r="W24" s="479"/>
      <c r="X24" s="479"/>
      <c r="Y24" s="479"/>
      <c r="Z24" s="479"/>
      <c r="AA24" s="479"/>
      <c r="AB24" s="479"/>
      <c r="AC24" s="479"/>
      <c r="AD24" s="479"/>
      <c r="AE24" s="479"/>
      <c r="AF24" s="479"/>
      <c r="AG24" s="479"/>
      <c r="AH24" s="479"/>
      <c r="AI24" s="479"/>
      <c r="AJ24" s="479"/>
      <c r="AK24" s="479"/>
      <c r="AL24" s="491"/>
      <c r="AN24" s="3"/>
    </row>
    <row r="25" spans="2:40" ht="14.25" customHeight="1" x14ac:dyDescent="0.15">
      <c r="B25" s="435"/>
      <c r="C25" s="470" t="s">
        <v>77</v>
      </c>
      <c r="D25" s="470"/>
      <c r="E25" s="470"/>
      <c r="F25" s="470"/>
      <c r="G25" s="470"/>
      <c r="H25" s="470"/>
      <c r="I25" s="470"/>
      <c r="J25" s="470"/>
      <c r="K25" s="470"/>
      <c r="L25" s="407" t="s">
        <v>9</v>
      </c>
      <c r="M25" s="408"/>
      <c r="N25" s="408"/>
      <c r="O25" s="408"/>
      <c r="P25" s="409"/>
      <c r="Q25" s="24"/>
      <c r="R25" s="25"/>
      <c r="S25" s="25"/>
      <c r="T25" s="25"/>
      <c r="U25" s="25"/>
      <c r="V25" s="25"/>
      <c r="W25" s="25"/>
      <c r="X25" s="25"/>
      <c r="Y25" s="26"/>
      <c r="Z25" s="492" t="s">
        <v>10</v>
      </c>
      <c r="AA25" s="493"/>
      <c r="AB25" s="493"/>
      <c r="AC25" s="493"/>
      <c r="AD25" s="494"/>
      <c r="AE25" s="28"/>
      <c r="AF25" s="32"/>
      <c r="AG25" s="22"/>
      <c r="AH25" s="22"/>
      <c r="AI25" s="22"/>
      <c r="AJ25" s="473"/>
      <c r="AK25" s="473"/>
      <c r="AL25" s="474"/>
      <c r="AN25" s="3"/>
    </row>
    <row r="26" spans="2:40" ht="13.5" customHeight="1" x14ac:dyDescent="0.15">
      <c r="B26" s="435"/>
      <c r="C26" s="495" t="s">
        <v>16</v>
      </c>
      <c r="D26" s="495"/>
      <c r="E26" s="495"/>
      <c r="F26" s="495"/>
      <c r="G26" s="495"/>
      <c r="H26" s="495"/>
      <c r="I26" s="495"/>
      <c r="J26" s="495"/>
      <c r="K26" s="495"/>
      <c r="L26" s="472" t="s">
        <v>74</v>
      </c>
      <c r="M26" s="473"/>
      <c r="N26" s="473"/>
      <c r="O26" s="473"/>
      <c r="P26" s="473"/>
      <c r="Q26" s="473"/>
      <c r="R26" s="473"/>
      <c r="S26" s="473"/>
      <c r="T26" s="473"/>
      <c r="U26" s="473"/>
      <c r="V26" s="473"/>
      <c r="W26" s="473"/>
      <c r="X26" s="473"/>
      <c r="Y26" s="473"/>
      <c r="Z26" s="473"/>
      <c r="AA26" s="473"/>
      <c r="AB26" s="473"/>
      <c r="AC26" s="473"/>
      <c r="AD26" s="473"/>
      <c r="AE26" s="473"/>
      <c r="AF26" s="473"/>
      <c r="AG26" s="473"/>
      <c r="AH26" s="473"/>
      <c r="AI26" s="473"/>
      <c r="AJ26" s="473"/>
      <c r="AK26" s="473"/>
      <c r="AL26" s="474"/>
      <c r="AN26" s="3"/>
    </row>
    <row r="27" spans="2:40" ht="14.25" customHeight="1" x14ac:dyDescent="0.15">
      <c r="B27" s="435"/>
      <c r="C27" s="495"/>
      <c r="D27" s="495"/>
      <c r="E27" s="495"/>
      <c r="F27" s="495"/>
      <c r="G27" s="495"/>
      <c r="H27" s="495"/>
      <c r="I27" s="495"/>
      <c r="J27" s="495"/>
      <c r="K27" s="495"/>
      <c r="L27" s="475" t="s">
        <v>75</v>
      </c>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6"/>
      <c r="AK27" s="476"/>
      <c r="AL27" s="477"/>
      <c r="AN27" s="3"/>
    </row>
    <row r="28" spans="2:40" x14ac:dyDescent="0.15">
      <c r="B28" s="435"/>
      <c r="C28" s="495"/>
      <c r="D28" s="495"/>
      <c r="E28" s="495"/>
      <c r="F28" s="495"/>
      <c r="G28" s="495"/>
      <c r="H28" s="495"/>
      <c r="I28" s="495"/>
      <c r="J28" s="495"/>
      <c r="K28" s="495"/>
      <c r="L28" s="478"/>
      <c r="M28" s="479"/>
      <c r="N28" s="479"/>
      <c r="O28" s="479"/>
      <c r="P28" s="479"/>
      <c r="Q28" s="479"/>
      <c r="R28" s="479"/>
      <c r="S28" s="479"/>
      <c r="T28" s="479"/>
      <c r="U28" s="479"/>
      <c r="V28" s="479"/>
      <c r="W28" s="479"/>
      <c r="X28" s="479"/>
      <c r="Y28" s="479"/>
      <c r="Z28" s="479"/>
      <c r="AA28" s="479"/>
      <c r="AB28" s="479"/>
      <c r="AC28" s="479"/>
      <c r="AD28" s="479"/>
      <c r="AE28" s="479"/>
      <c r="AF28" s="479"/>
      <c r="AG28" s="479"/>
      <c r="AH28" s="479"/>
      <c r="AI28" s="479"/>
      <c r="AJ28" s="479"/>
      <c r="AK28" s="479"/>
      <c r="AL28" s="491"/>
      <c r="AN28" s="3"/>
    </row>
    <row r="29" spans="2:40" ht="14.25" customHeight="1" x14ac:dyDescent="0.15">
      <c r="B29" s="435"/>
      <c r="C29" s="470" t="s">
        <v>77</v>
      </c>
      <c r="D29" s="470"/>
      <c r="E29" s="470"/>
      <c r="F29" s="470"/>
      <c r="G29" s="470"/>
      <c r="H29" s="470"/>
      <c r="I29" s="470"/>
      <c r="J29" s="470"/>
      <c r="K29" s="470"/>
      <c r="L29" s="407" t="s">
        <v>9</v>
      </c>
      <c r="M29" s="408"/>
      <c r="N29" s="408"/>
      <c r="O29" s="408"/>
      <c r="P29" s="409"/>
      <c r="Q29" s="28"/>
      <c r="R29" s="32"/>
      <c r="S29" s="32"/>
      <c r="T29" s="32"/>
      <c r="U29" s="32"/>
      <c r="V29" s="32"/>
      <c r="W29" s="32"/>
      <c r="X29" s="32"/>
      <c r="Y29" s="33"/>
      <c r="Z29" s="492" t="s">
        <v>10</v>
      </c>
      <c r="AA29" s="493"/>
      <c r="AB29" s="493"/>
      <c r="AC29" s="493"/>
      <c r="AD29" s="494"/>
      <c r="AE29" s="28"/>
      <c r="AF29" s="32"/>
      <c r="AG29" s="22"/>
      <c r="AH29" s="22"/>
      <c r="AI29" s="22"/>
      <c r="AJ29" s="473"/>
      <c r="AK29" s="473"/>
      <c r="AL29" s="474"/>
      <c r="AN29" s="3"/>
    </row>
    <row r="30" spans="2:40" ht="14.25" customHeight="1" x14ac:dyDescent="0.15">
      <c r="B30" s="435"/>
      <c r="C30" s="470" t="s">
        <v>17</v>
      </c>
      <c r="D30" s="470"/>
      <c r="E30" s="470"/>
      <c r="F30" s="470"/>
      <c r="G30" s="470"/>
      <c r="H30" s="470"/>
      <c r="I30" s="470"/>
      <c r="J30" s="470"/>
      <c r="K30" s="470"/>
      <c r="L30" s="471"/>
      <c r="M30" s="471"/>
      <c r="N30" s="471"/>
      <c r="O30" s="471"/>
      <c r="P30" s="471"/>
      <c r="Q30" s="471"/>
      <c r="R30" s="471"/>
      <c r="S30" s="471"/>
      <c r="T30" s="471"/>
      <c r="U30" s="471"/>
      <c r="V30" s="471"/>
      <c r="W30" s="471"/>
      <c r="X30" s="471"/>
      <c r="Y30" s="471"/>
      <c r="Z30" s="471"/>
      <c r="AA30" s="471"/>
      <c r="AB30" s="471"/>
      <c r="AC30" s="471"/>
      <c r="AD30" s="471"/>
      <c r="AE30" s="471"/>
      <c r="AF30" s="471"/>
      <c r="AG30" s="471"/>
      <c r="AH30" s="471"/>
      <c r="AI30" s="471"/>
      <c r="AJ30" s="471"/>
      <c r="AK30" s="471"/>
      <c r="AL30" s="471"/>
      <c r="AN30" s="3"/>
    </row>
    <row r="31" spans="2:40" ht="13.5" customHeight="1" x14ac:dyDescent="0.15">
      <c r="B31" s="435"/>
      <c r="C31" s="470" t="s">
        <v>18</v>
      </c>
      <c r="D31" s="470"/>
      <c r="E31" s="470"/>
      <c r="F31" s="470"/>
      <c r="G31" s="470"/>
      <c r="H31" s="470"/>
      <c r="I31" s="470"/>
      <c r="J31" s="470"/>
      <c r="K31" s="470"/>
      <c r="L31" s="472" t="s">
        <v>74</v>
      </c>
      <c r="M31" s="473"/>
      <c r="N31" s="473"/>
      <c r="O31" s="473"/>
      <c r="P31" s="473"/>
      <c r="Q31" s="473"/>
      <c r="R31" s="473"/>
      <c r="S31" s="473"/>
      <c r="T31" s="473"/>
      <c r="U31" s="473"/>
      <c r="V31" s="473"/>
      <c r="W31" s="473"/>
      <c r="X31" s="473"/>
      <c r="Y31" s="473"/>
      <c r="Z31" s="473"/>
      <c r="AA31" s="473"/>
      <c r="AB31" s="473"/>
      <c r="AC31" s="473"/>
      <c r="AD31" s="473"/>
      <c r="AE31" s="473"/>
      <c r="AF31" s="473"/>
      <c r="AG31" s="473"/>
      <c r="AH31" s="473"/>
      <c r="AI31" s="473"/>
      <c r="AJ31" s="473"/>
      <c r="AK31" s="473"/>
      <c r="AL31" s="474"/>
      <c r="AN31" s="3"/>
    </row>
    <row r="32" spans="2:40" ht="14.25" customHeight="1" x14ac:dyDescent="0.15">
      <c r="B32" s="435"/>
      <c r="C32" s="470"/>
      <c r="D32" s="470"/>
      <c r="E32" s="470"/>
      <c r="F32" s="470"/>
      <c r="G32" s="470"/>
      <c r="H32" s="470"/>
      <c r="I32" s="470"/>
      <c r="J32" s="470"/>
      <c r="K32" s="470"/>
      <c r="L32" s="475" t="s">
        <v>75</v>
      </c>
      <c r="M32" s="476"/>
      <c r="N32" s="476"/>
      <c r="O32" s="476"/>
      <c r="P32" s="476"/>
      <c r="Q32" s="476"/>
      <c r="R32" s="476"/>
      <c r="S32" s="476"/>
      <c r="T32" s="476"/>
      <c r="U32" s="476"/>
      <c r="V32" s="476"/>
      <c r="W32" s="476"/>
      <c r="X32" s="476"/>
      <c r="Y32" s="476"/>
      <c r="Z32" s="476"/>
      <c r="AA32" s="476"/>
      <c r="AB32" s="476"/>
      <c r="AC32" s="476"/>
      <c r="AD32" s="476"/>
      <c r="AE32" s="476"/>
      <c r="AF32" s="476"/>
      <c r="AG32" s="476"/>
      <c r="AH32" s="476"/>
      <c r="AI32" s="476"/>
      <c r="AJ32" s="476"/>
      <c r="AK32" s="476"/>
      <c r="AL32" s="477"/>
      <c r="AN32" s="3"/>
    </row>
    <row r="33" spans="2:40" x14ac:dyDescent="0.15">
      <c r="B33" s="436"/>
      <c r="C33" s="470"/>
      <c r="D33" s="470"/>
      <c r="E33" s="470"/>
      <c r="F33" s="470"/>
      <c r="G33" s="470"/>
      <c r="H33" s="470"/>
      <c r="I33" s="470"/>
      <c r="J33" s="470"/>
      <c r="K33" s="470"/>
      <c r="L33" s="478"/>
      <c r="M33" s="479"/>
      <c r="N33" s="480"/>
      <c r="O33" s="480"/>
      <c r="P33" s="480"/>
      <c r="Q33" s="480"/>
      <c r="R33" s="480"/>
      <c r="S33" s="480"/>
      <c r="T33" s="480"/>
      <c r="U33" s="480"/>
      <c r="V33" s="480"/>
      <c r="W33" s="480"/>
      <c r="X33" s="480"/>
      <c r="Y33" s="480"/>
      <c r="Z33" s="480"/>
      <c r="AA33" s="480"/>
      <c r="AB33" s="480"/>
      <c r="AC33" s="479"/>
      <c r="AD33" s="479"/>
      <c r="AE33" s="479"/>
      <c r="AF33" s="479"/>
      <c r="AG33" s="479"/>
      <c r="AH33" s="480"/>
      <c r="AI33" s="480"/>
      <c r="AJ33" s="480"/>
      <c r="AK33" s="480"/>
      <c r="AL33" s="481"/>
      <c r="AN33" s="3"/>
    </row>
    <row r="34" spans="2:40" ht="13.5" customHeight="1" x14ac:dyDescent="0.15">
      <c r="B34" s="434" t="s">
        <v>44</v>
      </c>
      <c r="C34" s="437" t="s">
        <v>79</v>
      </c>
      <c r="D34" s="438"/>
      <c r="E34" s="438"/>
      <c r="F34" s="438"/>
      <c r="G34" s="438"/>
      <c r="H34" s="438"/>
      <c r="I34" s="438"/>
      <c r="J34" s="438"/>
      <c r="K34" s="438"/>
      <c r="L34" s="438"/>
      <c r="M34" s="459" t="s">
        <v>19</v>
      </c>
      <c r="N34" s="424"/>
      <c r="O34" s="53" t="s">
        <v>46</v>
      </c>
      <c r="P34" s="49"/>
      <c r="Q34" s="50"/>
      <c r="R34" s="461" t="s">
        <v>20</v>
      </c>
      <c r="S34" s="462"/>
      <c r="T34" s="462"/>
      <c r="U34" s="462"/>
      <c r="V34" s="462"/>
      <c r="W34" s="462"/>
      <c r="X34" s="463"/>
      <c r="Y34" s="467" t="s">
        <v>56</v>
      </c>
      <c r="Z34" s="468"/>
      <c r="AA34" s="468"/>
      <c r="AB34" s="469"/>
      <c r="AC34" s="444" t="s">
        <v>57</v>
      </c>
      <c r="AD34" s="445"/>
      <c r="AE34" s="445"/>
      <c r="AF34" s="445"/>
      <c r="AG34" s="446"/>
      <c r="AH34" s="447" t="s">
        <v>51</v>
      </c>
      <c r="AI34" s="448"/>
      <c r="AJ34" s="448"/>
      <c r="AK34" s="448"/>
      <c r="AL34" s="449"/>
      <c r="AN34" s="3"/>
    </row>
    <row r="35" spans="2:40" ht="14.25" customHeight="1" x14ac:dyDescent="0.15">
      <c r="B35" s="435"/>
      <c r="C35" s="439"/>
      <c r="D35" s="440"/>
      <c r="E35" s="440"/>
      <c r="F35" s="440"/>
      <c r="G35" s="440"/>
      <c r="H35" s="440"/>
      <c r="I35" s="440"/>
      <c r="J35" s="440"/>
      <c r="K35" s="440"/>
      <c r="L35" s="440"/>
      <c r="M35" s="460"/>
      <c r="N35" s="427"/>
      <c r="O35" s="54" t="s">
        <v>47</v>
      </c>
      <c r="P35" s="51"/>
      <c r="Q35" s="52"/>
      <c r="R35" s="464"/>
      <c r="S35" s="465"/>
      <c r="T35" s="465"/>
      <c r="U35" s="465"/>
      <c r="V35" s="465"/>
      <c r="W35" s="465"/>
      <c r="X35" s="466"/>
      <c r="Y35" s="55" t="s">
        <v>32</v>
      </c>
      <c r="Z35" s="14"/>
      <c r="AA35" s="14"/>
      <c r="AB35" s="14"/>
      <c r="AC35" s="450" t="s">
        <v>33</v>
      </c>
      <c r="AD35" s="451"/>
      <c r="AE35" s="451"/>
      <c r="AF35" s="451"/>
      <c r="AG35" s="452"/>
      <c r="AH35" s="453" t="s">
        <v>52</v>
      </c>
      <c r="AI35" s="454"/>
      <c r="AJ35" s="454"/>
      <c r="AK35" s="454"/>
      <c r="AL35" s="455"/>
      <c r="AN35" s="3"/>
    </row>
    <row r="36" spans="2:40" ht="14.25" customHeight="1" x14ac:dyDescent="0.15">
      <c r="B36" s="435"/>
      <c r="C36" s="415"/>
      <c r="D36" s="68"/>
      <c r="E36" s="429" t="s">
        <v>2</v>
      </c>
      <c r="F36" s="429"/>
      <c r="G36" s="429"/>
      <c r="H36" s="429"/>
      <c r="I36" s="429"/>
      <c r="J36" s="429"/>
      <c r="K36" s="429"/>
      <c r="L36" s="443"/>
      <c r="M36" s="37"/>
      <c r="N36" s="36"/>
      <c r="O36" s="18"/>
      <c r="P36" s="19"/>
      <c r="Q36" s="36"/>
      <c r="R36" s="11" t="s">
        <v>58</v>
      </c>
      <c r="S36" s="5"/>
      <c r="T36" s="5"/>
      <c r="U36" s="5"/>
      <c r="V36" s="5"/>
      <c r="W36" s="5"/>
      <c r="X36" s="5"/>
      <c r="Y36" s="9"/>
      <c r="Z36" s="30"/>
      <c r="AA36" s="30"/>
      <c r="AB36" s="30"/>
      <c r="AC36" s="15"/>
      <c r="AD36" s="16"/>
      <c r="AE36" s="16"/>
      <c r="AF36" s="16"/>
      <c r="AG36" s="17"/>
      <c r="AH36" s="15"/>
      <c r="AI36" s="16"/>
      <c r="AJ36" s="16"/>
      <c r="AK36" s="16"/>
      <c r="AL36" s="17" t="s">
        <v>61</v>
      </c>
      <c r="AN36" s="3"/>
    </row>
    <row r="37" spans="2:40" ht="14.25" customHeight="1" x14ac:dyDescent="0.15">
      <c r="B37" s="435"/>
      <c r="C37" s="415"/>
      <c r="D37" s="68"/>
      <c r="E37" s="429" t="s">
        <v>3</v>
      </c>
      <c r="F37" s="430"/>
      <c r="G37" s="430"/>
      <c r="H37" s="430"/>
      <c r="I37" s="430"/>
      <c r="J37" s="430"/>
      <c r="K37" s="430"/>
      <c r="L37" s="431"/>
      <c r="M37" s="37"/>
      <c r="N37" s="36"/>
      <c r="O37" s="18"/>
      <c r="P37" s="19"/>
      <c r="Q37" s="36"/>
      <c r="R37" s="11" t="s">
        <v>58</v>
      </c>
      <c r="S37" s="5"/>
      <c r="T37" s="5"/>
      <c r="U37" s="5"/>
      <c r="V37" s="5"/>
      <c r="W37" s="5"/>
      <c r="X37" s="5"/>
      <c r="Y37" s="9"/>
      <c r="Z37" s="30"/>
      <c r="AA37" s="30"/>
      <c r="AB37" s="30"/>
      <c r="AC37" s="15"/>
      <c r="AD37" s="16"/>
      <c r="AE37" s="16"/>
      <c r="AF37" s="16"/>
      <c r="AG37" s="17"/>
      <c r="AH37" s="15"/>
      <c r="AI37" s="16"/>
      <c r="AJ37" s="16"/>
      <c r="AK37" s="16"/>
      <c r="AL37" s="17" t="s">
        <v>61</v>
      </c>
      <c r="AN37" s="3"/>
    </row>
    <row r="38" spans="2:40" ht="14.25" customHeight="1" x14ac:dyDescent="0.15">
      <c r="B38" s="435"/>
      <c r="C38" s="415"/>
      <c r="D38" s="68"/>
      <c r="E38" s="429" t="s">
        <v>4</v>
      </c>
      <c r="F38" s="430"/>
      <c r="G38" s="430"/>
      <c r="H38" s="430"/>
      <c r="I38" s="430"/>
      <c r="J38" s="430"/>
      <c r="K38" s="430"/>
      <c r="L38" s="431"/>
      <c r="M38" s="37"/>
      <c r="N38" s="36"/>
      <c r="O38" s="18"/>
      <c r="P38" s="19"/>
      <c r="Q38" s="36"/>
      <c r="R38" s="11" t="s">
        <v>58</v>
      </c>
      <c r="S38" s="5"/>
      <c r="T38" s="5"/>
      <c r="U38" s="5"/>
      <c r="V38" s="5"/>
      <c r="W38" s="5"/>
      <c r="X38" s="5"/>
      <c r="Y38" s="9"/>
      <c r="Z38" s="30"/>
      <c r="AA38" s="30"/>
      <c r="AB38" s="30"/>
      <c r="AC38" s="15"/>
      <c r="AD38" s="16"/>
      <c r="AE38" s="16"/>
      <c r="AF38" s="16"/>
      <c r="AG38" s="17"/>
      <c r="AH38" s="15"/>
      <c r="AI38" s="16"/>
      <c r="AJ38" s="16"/>
      <c r="AK38" s="16"/>
      <c r="AL38" s="17" t="s">
        <v>61</v>
      </c>
      <c r="AN38" s="3"/>
    </row>
    <row r="39" spans="2:40" ht="14.25" customHeight="1" x14ac:dyDescent="0.15">
      <c r="B39" s="435"/>
      <c r="C39" s="415"/>
      <c r="D39" s="68"/>
      <c r="E39" s="429" t="s">
        <v>6</v>
      </c>
      <c r="F39" s="430"/>
      <c r="G39" s="430"/>
      <c r="H39" s="430"/>
      <c r="I39" s="430"/>
      <c r="J39" s="430"/>
      <c r="K39" s="430"/>
      <c r="L39" s="431"/>
      <c r="M39" s="37"/>
      <c r="N39" s="36"/>
      <c r="O39" s="18"/>
      <c r="P39" s="19"/>
      <c r="Q39" s="36"/>
      <c r="R39" s="11" t="s">
        <v>58</v>
      </c>
      <c r="S39" s="5"/>
      <c r="T39" s="5"/>
      <c r="U39" s="5"/>
      <c r="V39" s="5"/>
      <c r="W39" s="5"/>
      <c r="X39" s="5"/>
      <c r="Y39" s="9"/>
      <c r="Z39" s="30"/>
      <c r="AA39" s="30"/>
      <c r="AB39" s="30"/>
      <c r="AC39" s="15"/>
      <c r="AD39" s="16"/>
      <c r="AE39" s="16"/>
      <c r="AF39" s="16"/>
      <c r="AG39" s="17"/>
      <c r="AH39" s="15"/>
      <c r="AI39" s="16"/>
      <c r="AJ39" s="16"/>
      <c r="AK39" s="16"/>
      <c r="AL39" s="17" t="s">
        <v>61</v>
      </c>
      <c r="AN39" s="3"/>
    </row>
    <row r="40" spans="2:40" ht="14.25" customHeight="1" x14ac:dyDescent="0.15">
      <c r="B40" s="435"/>
      <c r="C40" s="415"/>
      <c r="D40" s="68"/>
      <c r="E40" s="429" t="s">
        <v>5</v>
      </c>
      <c r="F40" s="430"/>
      <c r="G40" s="430"/>
      <c r="H40" s="430"/>
      <c r="I40" s="430"/>
      <c r="J40" s="430"/>
      <c r="K40" s="430"/>
      <c r="L40" s="431"/>
      <c r="M40" s="37"/>
      <c r="N40" s="36"/>
      <c r="O40" s="18"/>
      <c r="P40" s="19"/>
      <c r="Q40" s="36"/>
      <c r="R40" s="11" t="s">
        <v>58</v>
      </c>
      <c r="S40" s="5"/>
      <c r="T40" s="5"/>
      <c r="U40" s="5"/>
      <c r="V40" s="5"/>
      <c r="W40" s="5"/>
      <c r="X40" s="5"/>
      <c r="Y40" s="9"/>
      <c r="Z40" s="30"/>
      <c r="AA40" s="30"/>
      <c r="AB40" s="30"/>
      <c r="AC40" s="15"/>
      <c r="AD40" s="16"/>
      <c r="AE40" s="16"/>
      <c r="AF40" s="16"/>
      <c r="AG40" s="17"/>
      <c r="AH40" s="15"/>
      <c r="AI40" s="16"/>
      <c r="AJ40" s="16"/>
      <c r="AK40" s="16"/>
      <c r="AL40" s="17" t="s">
        <v>61</v>
      </c>
      <c r="AN40" s="3"/>
    </row>
    <row r="41" spans="2:40" ht="14.25" customHeight="1" thickBot="1" x14ac:dyDescent="0.2">
      <c r="B41" s="435"/>
      <c r="C41" s="415"/>
      <c r="D41" s="69"/>
      <c r="E41" s="456" t="s">
        <v>45</v>
      </c>
      <c r="F41" s="457"/>
      <c r="G41" s="457"/>
      <c r="H41" s="457"/>
      <c r="I41" s="457"/>
      <c r="J41" s="457"/>
      <c r="K41" s="457"/>
      <c r="L41" s="458"/>
      <c r="M41" s="70"/>
      <c r="N41" s="35"/>
      <c r="O41" s="79"/>
      <c r="P41" s="34"/>
      <c r="Q41" s="35"/>
      <c r="R41" s="4" t="s">
        <v>58</v>
      </c>
      <c r="S41" s="80"/>
      <c r="T41" s="80"/>
      <c r="U41" s="80"/>
      <c r="V41" s="80"/>
      <c r="W41" s="80"/>
      <c r="X41" s="80"/>
      <c r="Y41" s="6"/>
      <c r="Z41" s="66"/>
      <c r="AA41" s="66"/>
      <c r="AB41" s="66"/>
      <c r="AC41" s="56"/>
      <c r="AD41" s="57"/>
      <c r="AE41" s="57"/>
      <c r="AF41" s="57"/>
      <c r="AG41" s="58"/>
      <c r="AH41" s="56"/>
      <c r="AI41" s="57"/>
      <c r="AJ41" s="57"/>
      <c r="AK41" s="57"/>
      <c r="AL41" s="58" t="s">
        <v>61</v>
      </c>
      <c r="AN41" s="3"/>
    </row>
    <row r="42" spans="2:40" ht="14.25" customHeight="1" thickTop="1" x14ac:dyDescent="0.15">
      <c r="B42" s="435"/>
      <c r="C42" s="415"/>
      <c r="D42" s="71"/>
      <c r="E42" s="441" t="s">
        <v>64</v>
      </c>
      <c r="F42" s="441"/>
      <c r="G42" s="441"/>
      <c r="H42" s="441"/>
      <c r="I42" s="441"/>
      <c r="J42" s="441"/>
      <c r="K42" s="441"/>
      <c r="L42" s="442"/>
      <c r="M42" s="72"/>
      <c r="N42" s="74"/>
      <c r="O42" s="81"/>
      <c r="P42" s="73"/>
      <c r="Q42" s="74"/>
      <c r="R42" s="82" t="s">
        <v>58</v>
      </c>
      <c r="S42" s="83"/>
      <c r="T42" s="83"/>
      <c r="U42" s="83"/>
      <c r="V42" s="83"/>
      <c r="W42" s="83"/>
      <c r="X42" s="83"/>
      <c r="Y42" s="75"/>
      <c r="Z42" s="76"/>
      <c r="AA42" s="76"/>
      <c r="AB42" s="76"/>
      <c r="AC42" s="84"/>
      <c r="AD42" s="77"/>
      <c r="AE42" s="77"/>
      <c r="AF42" s="77"/>
      <c r="AG42" s="78"/>
      <c r="AH42" s="84"/>
      <c r="AI42" s="77"/>
      <c r="AJ42" s="77"/>
      <c r="AK42" s="77"/>
      <c r="AL42" s="78" t="s">
        <v>61</v>
      </c>
      <c r="AN42" s="3"/>
    </row>
    <row r="43" spans="2:40" ht="14.25" customHeight="1" x14ac:dyDescent="0.15">
      <c r="B43" s="435"/>
      <c r="C43" s="415"/>
      <c r="D43" s="68"/>
      <c r="E43" s="429" t="s">
        <v>65</v>
      </c>
      <c r="F43" s="430"/>
      <c r="G43" s="430"/>
      <c r="H43" s="430"/>
      <c r="I43" s="430"/>
      <c r="J43" s="430"/>
      <c r="K43" s="430"/>
      <c r="L43" s="431"/>
      <c r="M43" s="37"/>
      <c r="N43" s="36"/>
      <c r="O43" s="18"/>
      <c r="P43" s="19"/>
      <c r="Q43" s="36"/>
      <c r="R43" s="11" t="s">
        <v>58</v>
      </c>
      <c r="S43" s="5"/>
      <c r="T43" s="5"/>
      <c r="U43" s="5"/>
      <c r="V43" s="5"/>
      <c r="W43" s="5"/>
      <c r="X43" s="5"/>
      <c r="Y43" s="9"/>
      <c r="Z43" s="30"/>
      <c r="AA43" s="30"/>
      <c r="AB43" s="30"/>
      <c r="AC43" s="15"/>
      <c r="AD43" s="16"/>
      <c r="AE43" s="16"/>
      <c r="AF43" s="16"/>
      <c r="AG43" s="17"/>
      <c r="AH43" s="15"/>
      <c r="AI43" s="16"/>
      <c r="AJ43" s="16"/>
      <c r="AK43" s="16"/>
      <c r="AL43" s="17" t="s">
        <v>61</v>
      </c>
      <c r="AN43" s="3"/>
    </row>
    <row r="44" spans="2:40" ht="14.25" customHeight="1" x14ac:dyDescent="0.15">
      <c r="B44" s="435"/>
      <c r="C44" s="415"/>
      <c r="D44" s="68"/>
      <c r="E44" s="429" t="s">
        <v>66</v>
      </c>
      <c r="F44" s="430"/>
      <c r="G44" s="430"/>
      <c r="H44" s="430"/>
      <c r="I44" s="430"/>
      <c r="J44" s="430"/>
      <c r="K44" s="430"/>
      <c r="L44" s="431"/>
      <c r="M44" s="37"/>
      <c r="N44" s="36"/>
      <c r="O44" s="18"/>
      <c r="P44" s="19"/>
      <c r="Q44" s="36"/>
      <c r="R44" s="11" t="s">
        <v>58</v>
      </c>
      <c r="S44" s="5"/>
      <c r="T44" s="5"/>
      <c r="U44" s="5"/>
      <c r="V44" s="5"/>
      <c r="W44" s="5"/>
      <c r="X44" s="5"/>
      <c r="Y44" s="9"/>
      <c r="Z44" s="30"/>
      <c r="AA44" s="30"/>
      <c r="AB44" s="30"/>
      <c r="AC44" s="15"/>
      <c r="AD44" s="16"/>
      <c r="AE44" s="16"/>
      <c r="AF44" s="16"/>
      <c r="AG44" s="17"/>
      <c r="AH44" s="15"/>
      <c r="AI44" s="16"/>
      <c r="AJ44" s="16"/>
      <c r="AK44" s="16"/>
      <c r="AL44" s="17" t="s">
        <v>61</v>
      </c>
      <c r="AN44" s="3"/>
    </row>
    <row r="45" spans="2:40" ht="14.25" customHeight="1" x14ac:dyDescent="0.15">
      <c r="B45" s="435"/>
      <c r="C45" s="415"/>
      <c r="D45" s="68"/>
      <c r="E45" s="429" t="s">
        <v>67</v>
      </c>
      <c r="F45" s="430"/>
      <c r="G45" s="430"/>
      <c r="H45" s="430"/>
      <c r="I45" s="430"/>
      <c r="J45" s="430"/>
      <c r="K45" s="430"/>
      <c r="L45" s="431"/>
      <c r="M45" s="37"/>
      <c r="N45" s="36"/>
      <c r="O45" s="18"/>
      <c r="P45" s="19"/>
      <c r="Q45" s="36"/>
      <c r="R45" s="11" t="s">
        <v>58</v>
      </c>
      <c r="S45" s="5"/>
      <c r="T45" s="5"/>
      <c r="U45" s="5"/>
      <c r="V45" s="5"/>
      <c r="W45" s="5"/>
      <c r="X45" s="5"/>
      <c r="Y45" s="9"/>
      <c r="Z45" s="30"/>
      <c r="AA45" s="30"/>
      <c r="AB45" s="30"/>
      <c r="AC45" s="15"/>
      <c r="AD45" s="16"/>
      <c r="AE45" s="16"/>
      <c r="AF45" s="16"/>
      <c r="AG45" s="17"/>
      <c r="AH45" s="15"/>
      <c r="AI45" s="16"/>
      <c r="AJ45" s="16"/>
      <c r="AK45" s="16"/>
      <c r="AL45" s="17" t="s">
        <v>61</v>
      </c>
      <c r="AN45" s="3"/>
    </row>
    <row r="46" spans="2:40" ht="14.25" customHeight="1" x14ac:dyDescent="0.15">
      <c r="B46" s="435"/>
      <c r="C46" s="415"/>
      <c r="D46" s="68"/>
      <c r="E46" s="429" t="s">
        <v>68</v>
      </c>
      <c r="F46" s="430"/>
      <c r="G46" s="430"/>
      <c r="H46" s="430"/>
      <c r="I46" s="430"/>
      <c r="J46" s="430"/>
      <c r="K46" s="430"/>
      <c r="L46" s="431"/>
      <c r="M46" s="37"/>
      <c r="N46" s="36"/>
      <c r="O46" s="18"/>
      <c r="P46" s="19"/>
      <c r="Q46" s="36"/>
      <c r="R46" s="11" t="s">
        <v>58</v>
      </c>
      <c r="S46" s="5"/>
      <c r="T46" s="5"/>
      <c r="U46" s="5"/>
      <c r="V46" s="5"/>
      <c r="W46" s="5"/>
      <c r="X46" s="5"/>
      <c r="Y46" s="9"/>
      <c r="Z46" s="30"/>
      <c r="AA46" s="30"/>
      <c r="AB46" s="30"/>
      <c r="AC46" s="15"/>
      <c r="AD46" s="16"/>
      <c r="AE46" s="16"/>
      <c r="AF46" s="16"/>
      <c r="AG46" s="17"/>
      <c r="AH46" s="15"/>
      <c r="AI46" s="16"/>
      <c r="AJ46" s="16"/>
      <c r="AK46" s="16"/>
      <c r="AL46" s="17" t="s">
        <v>61</v>
      </c>
      <c r="AN46" s="3"/>
    </row>
    <row r="47" spans="2:40" ht="14.25" customHeight="1" x14ac:dyDescent="0.15">
      <c r="B47" s="436"/>
      <c r="C47" s="415"/>
      <c r="D47" s="68"/>
      <c r="E47" s="429" t="s">
        <v>69</v>
      </c>
      <c r="F47" s="430"/>
      <c r="G47" s="430"/>
      <c r="H47" s="430"/>
      <c r="I47" s="430"/>
      <c r="J47" s="430"/>
      <c r="K47" s="430"/>
      <c r="L47" s="431"/>
      <c r="M47" s="37"/>
      <c r="N47" s="36"/>
      <c r="O47" s="18"/>
      <c r="P47" s="19"/>
      <c r="Q47" s="36"/>
      <c r="R47" s="11" t="s">
        <v>58</v>
      </c>
      <c r="S47" s="5"/>
      <c r="T47" s="5"/>
      <c r="U47" s="5"/>
      <c r="V47" s="5"/>
      <c r="W47" s="5"/>
      <c r="X47" s="5"/>
      <c r="Y47" s="9"/>
      <c r="Z47" s="30"/>
      <c r="AA47" s="30"/>
      <c r="AB47" s="30"/>
      <c r="AC47" s="15"/>
      <c r="AD47" s="16"/>
      <c r="AE47" s="16"/>
      <c r="AF47" s="16"/>
      <c r="AG47" s="17"/>
      <c r="AH47" s="15"/>
      <c r="AI47" s="16"/>
      <c r="AJ47" s="16"/>
      <c r="AK47" s="16"/>
      <c r="AL47" s="17" t="s">
        <v>61</v>
      </c>
      <c r="AN47" s="3"/>
    </row>
    <row r="48" spans="2:40" ht="14.25" customHeight="1" x14ac:dyDescent="0.15">
      <c r="B48" s="432" t="s">
        <v>48</v>
      </c>
      <c r="C48" s="432"/>
      <c r="D48" s="432"/>
      <c r="E48" s="432"/>
      <c r="F48" s="432"/>
      <c r="G48" s="432"/>
      <c r="H48" s="432"/>
      <c r="I48" s="432"/>
      <c r="J48" s="432"/>
      <c r="K48" s="43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32" t="s">
        <v>49</v>
      </c>
      <c r="C49" s="432"/>
      <c r="D49" s="432"/>
      <c r="E49" s="432"/>
      <c r="F49" s="432"/>
      <c r="G49" s="432"/>
      <c r="H49" s="432"/>
      <c r="I49" s="432"/>
      <c r="J49" s="432"/>
      <c r="K49" s="43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10" t="s">
        <v>21</v>
      </c>
      <c r="C50" s="410"/>
      <c r="D50" s="410"/>
      <c r="E50" s="410"/>
      <c r="F50" s="410"/>
      <c r="G50" s="410"/>
      <c r="H50" s="410"/>
      <c r="I50" s="410"/>
      <c r="J50" s="410"/>
      <c r="K50" s="410"/>
      <c r="L50" s="61"/>
      <c r="M50" s="62"/>
      <c r="N50" s="62"/>
      <c r="O50" s="62"/>
      <c r="P50" s="62"/>
      <c r="Q50" s="62"/>
      <c r="R50" s="63"/>
      <c r="S50" s="63"/>
      <c r="T50" s="63"/>
      <c r="U50" s="64"/>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411" t="s">
        <v>50</v>
      </c>
      <c r="C51" s="411"/>
      <c r="D51" s="411"/>
      <c r="E51" s="411"/>
      <c r="F51" s="411"/>
      <c r="G51" s="411"/>
      <c r="H51" s="411"/>
      <c r="I51" s="411"/>
      <c r="J51" s="411"/>
      <c r="K51" s="41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12" t="s">
        <v>41</v>
      </c>
      <c r="C52" s="413"/>
      <c r="D52" s="413"/>
      <c r="E52" s="413"/>
      <c r="F52" s="413"/>
      <c r="G52" s="413"/>
      <c r="H52" s="413"/>
      <c r="I52" s="413"/>
      <c r="J52" s="413"/>
      <c r="K52" s="413"/>
      <c r="L52" s="413"/>
      <c r="M52" s="413"/>
      <c r="N52" s="41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14" t="s">
        <v>22</v>
      </c>
      <c r="C53" s="417" t="s">
        <v>80</v>
      </c>
      <c r="D53" s="418"/>
      <c r="E53" s="418"/>
      <c r="F53" s="418"/>
      <c r="G53" s="418"/>
      <c r="H53" s="418"/>
      <c r="I53" s="418"/>
      <c r="J53" s="418"/>
      <c r="K53" s="418"/>
      <c r="L53" s="418"/>
      <c r="M53" s="418"/>
      <c r="N53" s="418"/>
      <c r="O53" s="418"/>
      <c r="P53" s="418"/>
      <c r="Q53" s="418"/>
      <c r="R53" s="418"/>
      <c r="S53" s="418"/>
      <c r="T53" s="419"/>
      <c r="U53" s="417" t="s">
        <v>34</v>
      </c>
      <c r="V53" s="420"/>
      <c r="W53" s="420"/>
      <c r="X53" s="420"/>
      <c r="Y53" s="420"/>
      <c r="Z53" s="420"/>
      <c r="AA53" s="420"/>
      <c r="AB53" s="420"/>
      <c r="AC53" s="420"/>
      <c r="AD53" s="420"/>
      <c r="AE53" s="420"/>
      <c r="AF53" s="420"/>
      <c r="AG53" s="420"/>
      <c r="AH53" s="420"/>
      <c r="AI53" s="420"/>
      <c r="AJ53" s="420"/>
      <c r="AK53" s="420"/>
      <c r="AL53" s="421"/>
      <c r="AN53" s="3"/>
    </row>
    <row r="54" spans="2:40" x14ac:dyDescent="0.15">
      <c r="B54" s="415"/>
      <c r="C54" s="422"/>
      <c r="D54" s="423"/>
      <c r="E54" s="423"/>
      <c r="F54" s="423"/>
      <c r="G54" s="423"/>
      <c r="H54" s="423"/>
      <c r="I54" s="423"/>
      <c r="J54" s="423"/>
      <c r="K54" s="423"/>
      <c r="L54" s="423"/>
      <c r="M54" s="423"/>
      <c r="N54" s="423"/>
      <c r="O54" s="423"/>
      <c r="P54" s="423"/>
      <c r="Q54" s="423"/>
      <c r="R54" s="423"/>
      <c r="S54" s="423"/>
      <c r="T54" s="424"/>
      <c r="U54" s="422"/>
      <c r="V54" s="423"/>
      <c r="W54" s="423"/>
      <c r="X54" s="423"/>
      <c r="Y54" s="423"/>
      <c r="Z54" s="423"/>
      <c r="AA54" s="423"/>
      <c r="AB54" s="423"/>
      <c r="AC54" s="423"/>
      <c r="AD54" s="423"/>
      <c r="AE54" s="423"/>
      <c r="AF54" s="423"/>
      <c r="AG54" s="423"/>
      <c r="AH54" s="423"/>
      <c r="AI54" s="423"/>
      <c r="AJ54" s="423"/>
      <c r="AK54" s="423"/>
      <c r="AL54" s="424"/>
      <c r="AN54" s="3"/>
    </row>
    <row r="55" spans="2:40" x14ac:dyDescent="0.15">
      <c r="B55" s="415"/>
      <c r="C55" s="425"/>
      <c r="D55" s="426"/>
      <c r="E55" s="426"/>
      <c r="F55" s="426"/>
      <c r="G55" s="426"/>
      <c r="H55" s="426"/>
      <c r="I55" s="426"/>
      <c r="J55" s="426"/>
      <c r="K55" s="426"/>
      <c r="L55" s="426"/>
      <c r="M55" s="426"/>
      <c r="N55" s="426"/>
      <c r="O55" s="426"/>
      <c r="P55" s="426"/>
      <c r="Q55" s="426"/>
      <c r="R55" s="426"/>
      <c r="S55" s="426"/>
      <c r="T55" s="427"/>
      <c r="U55" s="425"/>
      <c r="V55" s="426"/>
      <c r="W55" s="426"/>
      <c r="X55" s="426"/>
      <c r="Y55" s="426"/>
      <c r="Z55" s="426"/>
      <c r="AA55" s="426"/>
      <c r="AB55" s="426"/>
      <c r="AC55" s="426"/>
      <c r="AD55" s="426"/>
      <c r="AE55" s="426"/>
      <c r="AF55" s="426"/>
      <c r="AG55" s="426"/>
      <c r="AH55" s="426"/>
      <c r="AI55" s="426"/>
      <c r="AJ55" s="426"/>
      <c r="AK55" s="426"/>
      <c r="AL55" s="427"/>
      <c r="AN55" s="3"/>
    </row>
    <row r="56" spans="2:40" x14ac:dyDescent="0.15">
      <c r="B56" s="415"/>
      <c r="C56" s="425"/>
      <c r="D56" s="426"/>
      <c r="E56" s="426"/>
      <c r="F56" s="426"/>
      <c r="G56" s="426"/>
      <c r="H56" s="426"/>
      <c r="I56" s="426"/>
      <c r="J56" s="426"/>
      <c r="K56" s="426"/>
      <c r="L56" s="426"/>
      <c r="M56" s="426"/>
      <c r="N56" s="426"/>
      <c r="O56" s="426"/>
      <c r="P56" s="426"/>
      <c r="Q56" s="426"/>
      <c r="R56" s="426"/>
      <c r="S56" s="426"/>
      <c r="T56" s="427"/>
      <c r="U56" s="425"/>
      <c r="V56" s="426"/>
      <c r="W56" s="426"/>
      <c r="X56" s="426"/>
      <c r="Y56" s="426"/>
      <c r="Z56" s="426"/>
      <c r="AA56" s="426"/>
      <c r="AB56" s="426"/>
      <c r="AC56" s="426"/>
      <c r="AD56" s="426"/>
      <c r="AE56" s="426"/>
      <c r="AF56" s="426"/>
      <c r="AG56" s="426"/>
      <c r="AH56" s="426"/>
      <c r="AI56" s="426"/>
      <c r="AJ56" s="426"/>
      <c r="AK56" s="426"/>
      <c r="AL56" s="427"/>
      <c r="AN56" s="3"/>
    </row>
    <row r="57" spans="2:40" x14ac:dyDescent="0.15">
      <c r="B57" s="416"/>
      <c r="C57" s="428"/>
      <c r="D57" s="420"/>
      <c r="E57" s="420"/>
      <c r="F57" s="420"/>
      <c r="G57" s="420"/>
      <c r="H57" s="420"/>
      <c r="I57" s="420"/>
      <c r="J57" s="420"/>
      <c r="K57" s="420"/>
      <c r="L57" s="420"/>
      <c r="M57" s="420"/>
      <c r="N57" s="420"/>
      <c r="O57" s="420"/>
      <c r="P57" s="420"/>
      <c r="Q57" s="420"/>
      <c r="R57" s="420"/>
      <c r="S57" s="420"/>
      <c r="T57" s="421"/>
      <c r="U57" s="428"/>
      <c r="V57" s="420"/>
      <c r="W57" s="420"/>
      <c r="X57" s="420"/>
      <c r="Y57" s="420"/>
      <c r="Z57" s="420"/>
      <c r="AA57" s="420"/>
      <c r="AB57" s="420"/>
      <c r="AC57" s="420"/>
      <c r="AD57" s="420"/>
      <c r="AE57" s="420"/>
      <c r="AF57" s="420"/>
      <c r="AG57" s="420"/>
      <c r="AH57" s="420"/>
      <c r="AI57" s="420"/>
      <c r="AJ57" s="420"/>
      <c r="AK57" s="420"/>
      <c r="AL57" s="421"/>
      <c r="AN57" s="3"/>
    </row>
    <row r="58" spans="2:40" ht="14.25" customHeight="1" x14ac:dyDescent="0.15">
      <c r="B58" s="407" t="s">
        <v>23</v>
      </c>
      <c r="C58" s="408"/>
      <c r="D58" s="408"/>
      <c r="E58" s="408"/>
      <c r="F58" s="409"/>
      <c r="G58" s="410" t="s">
        <v>24</v>
      </c>
      <c r="H58" s="410"/>
      <c r="I58" s="410"/>
      <c r="J58" s="410"/>
      <c r="K58" s="410"/>
      <c r="L58" s="410"/>
      <c r="M58" s="410"/>
      <c r="N58" s="410"/>
      <c r="O58" s="410"/>
      <c r="P58" s="410"/>
      <c r="Q58" s="410"/>
      <c r="R58" s="410"/>
      <c r="S58" s="410"/>
      <c r="T58" s="410"/>
      <c r="U58" s="410"/>
      <c r="V58" s="410"/>
      <c r="W58" s="410"/>
      <c r="X58" s="410"/>
      <c r="Y58" s="410"/>
      <c r="Z58" s="410"/>
      <c r="AA58" s="410"/>
      <c r="AB58" s="410"/>
      <c r="AC58" s="410"/>
      <c r="AD58" s="410"/>
      <c r="AE58" s="410"/>
      <c r="AF58" s="410"/>
      <c r="AG58" s="410"/>
      <c r="AH58" s="410"/>
      <c r="AI58" s="410"/>
      <c r="AJ58" s="410"/>
      <c r="AK58" s="410"/>
      <c r="AL58" s="410"/>
      <c r="AN58" s="3"/>
    </row>
    <row r="60" spans="2:40" x14ac:dyDescent="0.15">
      <c r="B60" s="14" t="s">
        <v>53</v>
      </c>
    </row>
    <row r="61" spans="2:40" x14ac:dyDescent="0.15">
      <c r="B61" s="14" t="s">
        <v>106</v>
      </c>
    </row>
    <row r="62" spans="2:40" x14ac:dyDescent="0.15">
      <c r="B62" s="14" t="s">
        <v>107</v>
      </c>
    </row>
    <row r="63" spans="2:40" x14ac:dyDescent="0.15">
      <c r="B63" s="14" t="s">
        <v>110</v>
      </c>
    </row>
    <row r="64" spans="2:40" x14ac:dyDescent="0.15">
      <c r="B64" s="14" t="s">
        <v>59</v>
      </c>
    </row>
    <row r="65" spans="2:41" x14ac:dyDescent="0.15">
      <c r="B65" s="14" t="s">
        <v>81</v>
      </c>
    </row>
    <row r="66" spans="2:41" x14ac:dyDescent="0.15">
      <c r="B66" s="14" t="s">
        <v>60</v>
      </c>
      <c r="AN66" s="3"/>
      <c r="AO66" s="14"/>
    </row>
    <row r="67" spans="2:41" x14ac:dyDescent="0.15">
      <c r="B67" s="14" t="s">
        <v>55</v>
      </c>
    </row>
    <row r="68" spans="2:41" x14ac:dyDescent="0.15">
      <c r="B68" s="14" t="s">
        <v>62</v>
      </c>
    </row>
    <row r="69" spans="2:41" x14ac:dyDescent="0.15">
      <c r="B69" s="14" t="s">
        <v>108</v>
      </c>
    </row>
    <row r="70" spans="2:41" x14ac:dyDescent="0.15">
      <c r="B70" s="14" t="s">
        <v>105</v>
      </c>
    </row>
    <row r="84" spans="2:2" ht="12.75" customHeight="1" x14ac:dyDescent="0.15">
      <c r="B84" s="46"/>
    </row>
    <row r="85" spans="2:2" ht="12.75" customHeight="1" x14ac:dyDescent="0.15">
      <c r="B85" s="46" t="s">
        <v>36</v>
      </c>
    </row>
    <row r="86" spans="2:2" ht="12.75" customHeight="1" x14ac:dyDescent="0.15">
      <c r="B86" s="46" t="s">
        <v>25</v>
      </c>
    </row>
    <row r="87" spans="2:2" ht="12.75" customHeight="1" x14ac:dyDescent="0.15">
      <c r="B87" s="46" t="s">
        <v>27</v>
      </c>
    </row>
    <row r="88" spans="2:2" ht="12.75" customHeight="1" x14ac:dyDescent="0.15">
      <c r="B88" s="46" t="s">
        <v>37</v>
      </c>
    </row>
    <row r="89" spans="2:2" ht="12.75" customHeight="1" x14ac:dyDescent="0.15">
      <c r="B89" s="46" t="s">
        <v>28</v>
      </c>
    </row>
    <row r="90" spans="2:2" ht="12.75" customHeight="1" x14ac:dyDescent="0.15">
      <c r="B90" s="46" t="s">
        <v>38</v>
      </c>
    </row>
    <row r="91" spans="2:2" ht="12.75" customHeight="1" x14ac:dyDescent="0.15">
      <c r="B91" s="46" t="s">
        <v>39</v>
      </c>
    </row>
    <row r="92" spans="2:2" ht="12.75" customHeight="1" x14ac:dyDescent="0.15">
      <c r="B92" s="46" t="s">
        <v>40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9:K21"/>
    <mergeCell ref="L19:AL19"/>
    <mergeCell ref="L20:AL20"/>
    <mergeCell ref="L21:AL21"/>
    <mergeCell ref="C18:K18"/>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C30:K30"/>
    <mergeCell ref="L30:AL30"/>
    <mergeCell ref="C31:K33"/>
    <mergeCell ref="L31:AL31"/>
    <mergeCell ref="L32:AL32"/>
    <mergeCell ref="L33:AL33"/>
    <mergeCell ref="AC34:AG34"/>
    <mergeCell ref="E45:L45"/>
    <mergeCell ref="E46:L46"/>
    <mergeCell ref="AH34:AL34"/>
    <mergeCell ref="AC35:AG35"/>
    <mergeCell ref="AH35:AL35"/>
    <mergeCell ref="E40:L40"/>
    <mergeCell ref="E41:L41"/>
    <mergeCell ref="M34:N35"/>
    <mergeCell ref="R34:X35"/>
    <mergeCell ref="Y34:AB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9938FF-F32D-46C2-811A-82735556D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8255EA-77A8-4DFE-9DE2-5AABB4AA6776}">
  <ds:schemaRefs>
    <ds:schemaRef ds:uri="263dbbe5-076b-4606-a03b-9598f5f2f35a"/>
    <ds:schemaRef ds:uri="http://purl.org/dc/terms/"/>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ba954db6-8e98-4c99-b32f-7e23d9ecf8c6"/>
    <ds:schemaRef ds:uri="http://www.w3.org/XML/1998/namespace"/>
    <ds:schemaRef ds:uri="http://purl.org/dc/dcmitype/"/>
  </ds:schemaRefs>
</ds:datastoreItem>
</file>

<file path=customXml/itemProps3.xml><?xml version="1.0" encoding="utf-8"?>
<ds:datastoreItem xmlns:ds="http://schemas.openxmlformats.org/officeDocument/2006/customXml" ds:itemID="{9187A6FF-D010-4053-A105-1AD3220B282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老健</vt:lpstr>
      <vt:lpstr>訪リハ・通リハ・短期</vt:lpstr>
      <vt:lpstr>予防訪リハ・予防通リハ・予防短期</vt:lpstr>
      <vt:lpstr>別紙●24</vt:lpstr>
      <vt:lpstr>訪リハ・通リハ・短期!Print_Area</vt:lpstr>
      <vt:lpstr>予防訪リハ・予防通リハ・予防短期!Print_Area</vt:lpstr>
      <vt:lpstr>老健!Print_Area</vt:lpstr>
      <vt:lpstr>訪リハ・通リハ・短期!Print_Titles</vt:lpstr>
      <vt:lpstr>予防訪リハ・予防通リハ・予防短期!Print_Titles</vt:lpstr>
      <vt:lpstr>老健!Print_Titles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Administrator</cp:lastModifiedBy>
  <cp:lastPrinted>2025-06-18T08:06:10Z</cp:lastPrinted>
  <dcterms:created xsi:type="dcterms:W3CDTF">2023-01-16T02:34:32Z</dcterms:created>
  <dcterms:modified xsi:type="dcterms:W3CDTF">2025-07-01T09:55:23Z</dcterms:modified>
</cp:coreProperties>
</file>