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B7C3045C-0219-424D-B2BC-6FB237C3F954}" xr6:coauthVersionLast="47" xr6:coauthVersionMax="47" xr10:uidLastSave="{00000000-0000-0000-0000-000000000000}"/>
  <bookViews>
    <workbookView xWindow="-120" yWindow="-120" windowWidth="20730" windowHeight="11160" tabRatio="935" xr2:uid="{31320AF1-06BD-4B8E-86DB-F1C07B4AA7D5}"/>
  </bookViews>
  <sheets>
    <sheet name="居宅" sheetId="491" r:id="rId1"/>
    <sheet name="居宅サテライト" sheetId="495" r:id="rId2"/>
    <sheet name="備考（1）" sheetId="413" r:id="rId3"/>
    <sheet name="予防" sheetId="492" r:id="rId4"/>
    <sheet name="予防サテライト" sheetId="496" r:id="rId5"/>
    <sheet name="備考（1－2）" sheetId="414" r:id="rId6"/>
    <sheet name="別紙●24" sheetId="66" state="hidden" r:id="rId7"/>
  </sheets>
  <externalReferences>
    <externalReference r:id="rId8"/>
    <externalReference r:id="rId9"/>
    <externalReference r:id="rId10"/>
    <externalReference r:id="rId11"/>
  </externalReferences>
  <definedNames>
    <definedName name="ｋ">#N/A</definedName>
    <definedName name="_xlnm.Print_Area" localSheetId="0">居宅!$A$1:$AF$609</definedName>
    <definedName name="_xlnm.Print_Area" localSheetId="1">居宅サテライト!$A$1:$AF$18</definedName>
    <definedName name="_xlnm.Print_Area" localSheetId="2">'備考（1）'!$A$1:$S$77</definedName>
    <definedName name="_xlnm.Print_Area" localSheetId="5">'備考（1－2）'!$A$1:$S$48</definedName>
    <definedName name="_xlnm.Print_Area" localSheetId="6">#N/A</definedName>
    <definedName name="_xlnm.Print_Area" localSheetId="3">予防!$A$1:$AF$497</definedName>
    <definedName name="_xlnm.Print_Area" localSheetId="4">予防サテライト!$A$1:$AF$18</definedName>
    <definedName name="_xlnm.Print_Titles" localSheetId="0">居宅!$1:$10</definedName>
    <definedName name="_xlnm.Print_Titles" localSheetId="1">居宅サテライト!$1:$10</definedName>
    <definedName name="_xlnm.Print_Titles" localSheetId="3">予防!$1:$10</definedName>
    <definedName name="_xlnm.Print_Titles" localSheetId="4">予防サテライト!$1:$10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5" i="496" l="1"/>
  <c r="AI13" i="496"/>
  <c r="AI12" i="496"/>
  <c r="AG12" i="496"/>
  <c r="AI11" i="496"/>
  <c r="AG11" i="496"/>
  <c r="AG9" i="496"/>
  <c r="AI15" i="495"/>
  <c r="AI13" i="495"/>
  <c r="AI12" i="495"/>
  <c r="AG12" i="495"/>
  <c r="AI11" i="495"/>
  <c r="AG11" i="495"/>
  <c r="AG9" i="495"/>
  <c r="AG108" i="492" l="1"/>
  <c r="AJ362" i="491"/>
  <c r="AJ11" i="491"/>
  <c r="AI151" i="491"/>
  <c r="AI148" i="491"/>
  <c r="AI147" i="491"/>
  <c r="AI103" i="491"/>
  <c r="AI122" i="491"/>
  <c r="AI71" i="491"/>
  <c r="AI477" i="492"/>
  <c r="AI463" i="492"/>
  <c r="AI439" i="492"/>
  <c r="AI415" i="492"/>
  <c r="AI395" i="492"/>
  <c r="AI375" i="492"/>
  <c r="AI352" i="492"/>
  <c r="AI328" i="492"/>
  <c r="AI305" i="492"/>
  <c r="AI285" i="492"/>
  <c r="AI266" i="492"/>
  <c r="AI243" i="492"/>
  <c r="AI220" i="492"/>
  <c r="AI202" i="492"/>
  <c r="AI184" i="492"/>
  <c r="AI164" i="492"/>
  <c r="AI142" i="492"/>
  <c r="AI120" i="492"/>
  <c r="AI101" i="492"/>
  <c r="AI78" i="492"/>
  <c r="AI18" i="492"/>
  <c r="AI530" i="491"/>
  <c r="AI505" i="491"/>
  <c r="AI269" i="491"/>
  <c r="AI202" i="491"/>
  <c r="AI575" i="491"/>
  <c r="AI555" i="491"/>
  <c r="AI484" i="491"/>
  <c r="AI463" i="491"/>
  <c r="AI439" i="491"/>
  <c r="AI414" i="491"/>
  <c r="AI391" i="491"/>
  <c r="AI371" i="491"/>
  <c r="AI352" i="491"/>
  <c r="AI329" i="491"/>
  <c r="AI306" i="491"/>
  <c r="AI288" i="491"/>
  <c r="AI249" i="491"/>
  <c r="AI226" i="491"/>
  <c r="AI182" i="491"/>
  <c r="AI34" i="491"/>
  <c r="AJ36" i="491"/>
  <c r="AI11" i="491"/>
  <c r="AK11" i="491"/>
  <c r="AI347" i="492"/>
  <c r="AI390" i="492"/>
  <c r="AH381" i="492"/>
  <c r="AG382" i="492"/>
  <c r="AG381" i="492"/>
  <c r="AH362" i="492"/>
  <c r="AG363" i="492"/>
  <c r="AI400" i="492"/>
  <c r="AI398" i="492"/>
  <c r="AI397" i="492"/>
  <c r="AI396" i="492"/>
  <c r="AI394" i="492"/>
  <c r="AI393" i="492"/>
  <c r="AI392" i="492"/>
  <c r="AI391" i="492"/>
  <c r="AI389" i="492"/>
  <c r="AI388" i="492"/>
  <c r="AI387" i="492"/>
  <c r="AI386" i="492"/>
  <c r="AI385" i="492"/>
  <c r="AI383" i="492"/>
  <c r="AJ381" i="492"/>
  <c r="AI381" i="492"/>
  <c r="AH338" i="492"/>
  <c r="AG339" i="492"/>
  <c r="AG338" i="492"/>
  <c r="AG191" i="492"/>
  <c r="AG190" i="492"/>
  <c r="AG172" i="492"/>
  <c r="AG171" i="492"/>
  <c r="AI178" i="492"/>
  <c r="AI207" i="492"/>
  <c r="AI205" i="492"/>
  <c r="AI204" i="492"/>
  <c r="AI203" i="492"/>
  <c r="AI201" i="492"/>
  <c r="AI200" i="492"/>
  <c r="AI199" i="492"/>
  <c r="AI198" i="492"/>
  <c r="AI197" i="492"/>
  <c r="AI196" i="492"/>
  <c r="AI195" i="492"/>
  <c r="AI194" i="492"/>
  <c r="AI193" i="492"/>
  <c r="AI191" i="492"/>
  <c r="AJ190" i="492"/>
  <c r="AI190" i="492"/>
  <c r="AG150" i="492"/>
  <c r="AG149" i="492"/>
  <c r="AG127" i="492"/>
  <c r="AI94" i="492"/>
  <c r="AI133" i="492"/>
  <c r="AI170" i="492"/>
  <c r="AI168" i="492"/>
  <c r="AI167" i="492"/>
  <c r="AI166" i="492"/>
  <c r="AI165" i="492"/>
  <c r="AI163" i="492"/>
  <c r="AI162" i="492"/>
  <c r="AI161" i="492"/>
  <c r="AI160" i="492"/>
  <c r="AI159" i="492"/>
  <c r="AI158" i="492"/>
  <c r="AI157" i="492"/>
  <c r="AI156" i="492"/>
  <c r="AI155" i="492"/>
  <c r="AI154" i="492"/>
  <c r="AI153" i="492"/>
  <c r="AI152" i="492"/>
  <c r="AI150" i="492"/>
  <c r="AJ149" i="492"/>
  <c r="AI149" i="492"/>
  <c r="AI125" i="492"/>
  <c r="AI123" i="492"/>
  <c r="AI122" i="492"/>
  <c r="AI121" i="492"/>
  <c r="AI119" i="492"/>
  <c r="AI118" i="492"/>
  <c r="AI117" i="492"/>
  <c r="AI116" i="492"/>
  <c r="AI115" i="492"/>
  <c r="AI114" i="492"/>
  <c r="AI113" i="492"/>
  <c r="AI112" i="492"/>
  <c r="AI111" i="492"/>
  <c r="AI110" i="492"/>
  <c r="AI108" i="492"/>
  <c r="AJ107" i="492"/>
  <c r="AI107" i="492"/>
  <c r="AH107" i="492"/>
  <c r="AG107" i="492"/>
  <c r="AI477" i="491"/>
  <c r="AI432" i="491"/>
  <c r="AH470" i="491"/>
  <c r="AH450" i="491"/>
  <c r="AG451" i="491"/>
  <c r="AI490" i="491"/>
  <c r="AI488" i="491"/>
  <c r="AI487" i="491"/>
  <c r="AI486" i="491"/>
  <c r="AI485" i="491"/>
  <c r="AI483" i="491"/>
  <c r="AI482" i="491"/>
  <c r="AI481" i="491"/>
  <c r="AI480" i="491"/>
  <c r="AI479" i="491"/>
  <c r="AI478" i="491"/>
  <c r="AI476" i="491"/>
  <c r="AI475" i="491"/>
  <c r="AI474" i="491"/>
  <c r="AI472" i="491"/>
  <c r="AG471" i="491"/>
  <c r="AJ470" i="491"/>
  <c r="AI470" i="491"/>
  <c r="AG470" i="491"/>
  <c r="AH425" i="491"/>
  <c r="AG426" i="491"/>
  <c r="AG425" i="491"/>
  <c r="AG276" i="491"/>
  <c r="AG275" i="491"/>
  <c r="AG256" i="491"/>
  <c r="AG255" i="491"/>
  <c r="AI262" i="491"/>
  <c r="AG209" i="491"/>
  <c r="AI293" i="491"/>
  <c r="AI291" i="491"/>
  <c r="AI290" i="491"/>
  <c r="AI289" i="491"/>
  <c r="AI287" i="491"/>
  <c r="AI286" i="491"/>
  <c r="AI285" i="491"/>
  <c r="AI284" i="491"/>
  <c r="AI283" i="491"/>
  <c r="AI282" i="491"/>
  <c r="AI281" i="491"/>
  <c r="AI280" i="491"/>
  <c r="AI279" i="491"/>
  <c r="AI278" i="491"/>
  <c r="AI276" i="491"/>
  <c r="AJ275" i="491"/>
  <c r="AI275" i="491"/>
  <c r="AG233" i="491"/>
  <c r="AG232" i="491"/>
  <c r="AI215" i="491"/>
  <c r="AG208" i="491"/>
  <c r="AI254" i="491"/>
  <c r="AI252" i="491"/>
  <c r="AI251" i="491"/>
  <c r="AI250" i="491"/>
  <c r="AI248" i="491"/>
  <c r="AI247" i="491"/>
  <c r="AI246" i="491"/>
  <c r="AI245" i="491"/>
  <c r="AI244" i="491"/>
  <c r="AI243" i="491"/>
  <c r="AI242" i="491"/>
  <c r="AI241" i="491"/>
  <c r="AI240" i="491"/>
  <c r="AI239" i="491"/>
  <c r="AI238" i="491"/>
  <c r="AI237" i="491"/>
  <c r="AI236" i="491"/>
  <c r="AI235" i="491"/>
  <c r="AI233" i="491"/>
  <c r="AJ232" i="491"/>
  <c r="AI232" i="491"/>
  <c r="AH188" i="491"/>
  <c r="AG189" i="491"/>
  <c r="AG188" i="491"/>
  <c r="AI174" i="491"/>
  <c r="AH167" i="491"/>
  <c r="AG168" i="491"/>
  <c r="AG167" i="491"/>
  <c r="AI207" i="491"/>
  <c r="AI205" i="491"/>
  <c r="AI204" i="491"/>
  <c r="AI203" i="491"/>
  <c r="AI201" i="491"/>
  <c r="AI200" i="491"/>
  <c r="AI199" i="491"/>
  <c r="AI198" i="491"/>
  <c r="AI197" i="491"/>
  <c r="AI196" i="491"/>
  <c r="AI195" i="491"/>
  <c r="AI194" i="491"/>
  <c r="AI193" i="491"/>
  <c r="AI192" i="491"/>
  <c r="AI191" i="491"/>
  <c r="AI189" i="491"/>
  <c r="AJ188" i="491"/>
  <c r="AI188" i="491"/>
  <c r="AI495" i="492"/>
  <c r="AI493" i="492"/>
  <c r="AG493" i="492"/>
  <c r="AJ492" i="492"/>
  <c r="AI492" i="492"/>
  <c r="AG492" i="492"/>
  <c r="AG490" i="492"/>
  <c r="AJ489" i="492"/>
  <c r="AG489" i="492"/>
  <c r="AI487" i="492"/>
  <c r="AI485" i="492"/>
  <c r="AI484" i="492"/>
  <c r="AJ483" i="492"/>
  <c r="AI483" i="492"/>
  <c r="AG483" i="492"/>
  <c r="AI482" i="492"/>
  <c r="AI481" i="492"/>
  <c r="AI480" i="492"/>
  <c r="AI479" i="492"/>
  <c r="AI478" i="492"/>
  <c r="AI476" i="492"/>
  <c r="AI475" i="492"/>
  <c r="AI474" i="492"/>
  <c r="AI473" i="492"/>
  <c r="AI472" i="492"/>
  <c r="AI471" i="492"/>
  <c r="AI470" i="492"/>
  <c r="AG470" i="492"/>
  <c r="AK469" i="492"/>
  <c r="AJ469" i="492"/>
  <c r="AI469" i="492"/>
  <c r="AH469" i="492"/>
  <c r="AG469" i="492"/>
  <c r="AI468" i="492"/>
  <c r="AI466" i="492"/>
  <c r="AI465" i="492"/>
  <c r="AI464" i="492"/>
  <c r="AI462" i="492"/>
  <c r="AI461" i="492"/>
  <c r="AI460" i="492"/>
  <c r="AI459" i="492"/>
  <c r="AI458" i="492"/>
  <c r="AI457" i="492"/>
  <c r="AI456" i="492"/>
  <c r="AI455" i="492"/>
  <c r="AI454" i="492"/>
  <c r="AI453" i="492"/>
  <c r="AI451" i="492"/>
  <c r="AG450" i="492"/>
  <c r="AJ449" i="492"/>
  <c r="AI449" i="492"/>
  <c r="AH449" i="492"/>
  <c r="AG449" i="492"/>
  <c r="AI448" i="492"/>
  <c r="AI446" i="492"/>
  <c r="AI445" i="492"/>
  <c r="AI444" i="492"/>
  <c r="AI442" i="492"/>
  <c r="AI440" i="492"/>
  <c r="AI438" i="492"/>
  <c r="AI437" i="492"/>
  <c r="AI436" i="492"/>
  <c r="AI435" i="492"/>
  <c r="AI434" i="492"/>
  <c r="AI433" i="492"/>
  <c r="AI432" i="492"/>
  <c r="AI431" i="492"/>
  <c r="AI430" i="492"/>
  <c r="AI429" i="492"/>
  <c r="AI427" i="492"/>
  <c r="AG426" i="492"/>
  <c r="AJ425" i="492"/>
  <c r="AI425" i="492"/>
  <c r="AG425" i="492"/>
  <c r="AI424" i="492"/>
  <c r="AI422" i="492"/>
  <c r="AI421" i="492"/>
  <c r="AI420" i="492"/>
  <c r="AI418" i="492"/>
  <c r="AI416" i="492"/>
  <c r="AI414" i="492"/>
  <c r="AI413" i="492"/>
  <c r="AI412" i="492"/>
  <c r="AI411" i="492"/>
  <c r="AI410" i="492"/>
  <c r="AI409" i="492"/>
  <c r="AI408" i="492"/>
  <c r="AI407" i="492"/>
  <c r="AI406" i="492"/>
  <c r="AI405" i="492"/>
  <c r="AI403" i="492"/>
  <c r="AG402" i="492"/>
  <c r="AJ401" i="492"/>
  <c r="AI401" i="492"/>
  <c r="AH401" i="492"/>
  <c r="AG401" i="492"/>
  <c r="AI380" i="492"/>
  <c r="AI378" i="492"/>
  <c r="AI377" i="492"/>
  <c r="AI376" i="492"/>
  <c r="AI374" i="492"/>
  <c r="AI373" i="492"/>
  <c r="AI372" i="492"/>
  <c r="AI371" i="492"/>
  <c r="AI370" i="492"/>
  <c r="AI369" i="492"/>
  <c r="AI368" i="492"/>
  <c r="AI367" i="492"/>
  <c r="AI366" i="492"/>
  <c r="AI364" i="492"/>
  <c r="AJ362" i="492"/>
  <c r="AI362" i="492"/>
  <c r="AG362" i="492"/>
  <c r="AI361" i="492"/>
  <c r="AI359" i="492"/>
  <c r="AI358" i="492"/>
  <c r="AI357" i="492"/>
  <c r="AI355" i="492"/>
  <c r="AI353" i="492"/>
  <c r="AI351" i="492"/>
  <c r="AI350" i="492"/>
  <c r="AI349" i="492"/>
  <c r="AI348" i="492"/>
  <c r="AI346" i="492"/>
  <c r="AI345" i="492"/>
  <c r="AI344" i="492"/>
  <c r="AI343" i="492"/>
  <c r="AI342" i="492"/>
  <c r="AI340" i="492"/>
  <c r="AJ338" i="492"/>
  <c r="AI338" i="492"/>
  <c r="AI337" i="492"/>
  <c r="AI335" i="492"/>
  <c r="AI334" i="492"/>
  <c r="AI333" i="492"/>
  <c r="AI331" i="492"/>
  <c r="AI329" i="492"/>
  <c r="AI327" i="492"/>
  <c r="AI326" i="492"/>
  <c r="AI325" i="492"/>
  <c r="AI324" i="492"/>
  <c r="AI323" i="492"/>
  <c r="AI322" i="492"/>
  <c r="AI321" i="492"/>
  <c r="AI320" i="492"/>
  <c r="AI319" i="492"/>
  <c r="AI317" i="492"/>
  <c r="AG316" i="492"/>
  <c r="AJ315" i="492"/>
  <c r="AI315" i="492"/>
  <c r="AH315" i="492"/>
  <c r="AG315" i="492"/>
  <c r="AI314" i="492"/>
  <c r="AI312" i="492"/>
  <c r="AI311" i="492"/>
  <c r="AI309" i="492"/>
  <c r="AI308" i="492"/>
  <c r="AI306" i="492"/>
  <c r="AI304" i="492"/>
  <c r="AI303" i="492"/>
  <c r="AI302" i="492"/>
  <c r="AI301" i="492"/>
  <c r="AI300" i="492"/>
  <c r="AI299" i="492"/>
  <c r="AI298" i="492"/>
  <c r="AI297" i="492"/>
  <c r="AI296" i="492"/>
  <c r="AG296" i="492"/>
  <c r="AJ295" i="492"/>
  <c r="AI295" i="492"/>
  <c r="AH295" i="492"/>
  <c r="AG295" i="492"/>
  <c r="AI294" i="492"/>
  <c r="AI292" i="492"/>
  <c r="AI291" i="492"/>
  <c r="AI289" i="492"/>
  <c r="AI288" i="492"/>
  <c r="AI286" i="492"/>
  <c r="AI284" i="492"/>
  <c r="AI283" i="492"/>
  <c r="AI282" i="492"/>
  <c r="AI281" i="492"/>
  <c r="AI280" i="492"/>
  <c r="AI279" i="492"/>
  <c r="AI278" i="492"/>
  <c r="AI277" i="492"/>
  <c r="AG277" i="492"/>
  <c r="AJ276" i="492"/>
  <c r="AI276" i="492"/>
  <c r="AH276" i="492"/>
  <c r="AG276" i="492"/>
  <c r="AI275" i="492"/>
  <c r="AI273" i="492"/>
  <c r="AI272" i="492"/>
  <c r="AI270" i="492"/>
  <c r="AI269" i="492"/>
  <c r="AI267" i="492"/>
  <c r="AI265" i="492"/>
  <c r="AI264" i="492"/>
  <c r="AI263" i="492"/>
  <c r="AI262" i="492"/>
  <c r="AI261" i="492"/>
  <c r="AI260" i="492"/>
  <c r="AI259" i="492"/>
  <c r="AI258" i="492"/>
  <c r="AI257" i="492"/>
  <c r="AI256" i="492"/>
  <c r="AI255" i="492"/>
  <c r="AG254" i="492"/>
  <c r="AJ253" i="492"/>
  <c r="AI253" i="492"/>
  <c r="AH253" i="492"/>
  <c r="AG253" i="492"/>
  <c r="AI252" i="492"/>
  <c r="AI250" i="492"/>
  <c r="AI249" i="492"/>
  <c r="AI247" i="492"/>
  <c r="AI246" i="492"/>
  <c r="AI244" i="492"/>
  <c r="AI242" i="492"/>
  <c r="AI241" i="492"/>
  <c r="AI240" i="492"/>
  <c r="AI239" i="492"/>
  <c r="AI238" i="492"/>
  <c r="AI237" i="492"/>
  <c r="AI236" i="492"/>
  <c r="AI235" i="492"/>
  <c r="AI234" i="492"/>
  <c r="AI233" i="492"/>
  <c r="AI232" i="492"/>
  <c r="AG231" i="492"/>
  <c r="AJ230" i="492"/>
  <c r="AI230" i="492"/>
  <c r="AH230" i="492"/>
  <c r="AG230" i="492"/>
  <c r="AI229" i="492"/>
  <c r="AI227" i="492"/>
  <c r="AI226" i="492"/>
  <c r="AI224" i="492"/>
  <c r="AI223" i="492"/>
  <c r="AI221" i="492"/>
  <c r="AI219" i="492"/>
  <c r="AI218" i="492"/>
  <c r="AI217" i="492"/>
  <c r="AI216" i="492"/>
  <c r="AI215" i="492"/>
  <c r="AI214" i="492"/>
  <c r="AI213" i="492"/>
  <c r="AI212" i="492"/>
  <c r="AI211" i="492"/>
  <c r="AI210" i="492"/>
  <c r="AG209" i="492"/>
  <c r="AJ208" i="492"/>
  <c r="AI208" i="492"/>
  <c r="AH208" i="492"/>
  <c r="AG208" i="492"/>
  <c r="AI189" i="492"/>
  <c r="AI187" i="492"/>
  <c r="AI186" i="492"/>
  <c r="AI185" i="492"/>
  <c r="AI183" i="492"/>
  <c r="AI182" i="492"/>
  <c r="AI181" i="492"/>
  <c r="AI180" i="492"/>
  <c r="AI179" i="492"/>
  <c r="AI177" i="492"/>
  <c r="AI176" i="492"/>
  <c r="AI175" i="492"/>
  <c r="AI174" i="492"/>
  <c r="AI172" i="492"/>
  <c r="AJ171" i="492"/>
  <c r="AI171" i="492"/>
  <c r="AI148" i="492"/>
  <c r="AI146" i="492"/>
  <c r="AI145" i="492"/>
  <c r="AI144" i="492"/>
  <c r="AI143" i="492"/>
  <c r="AI141" i="492"/>
  <c r="AI140" i="492"/>
  <c r="AI139" i="492"/>
  <c r="AI138" i="492"/>
  <c r="AI137" i="492"/>
  <c r="AI136" i="492"/>
  <c r="AI135" i="492"/>
  <c r="AI134" i="492"/>
  <c r="AI132" i="492"/>
  <c r="AI131" i="492"/>
  <c r="AI130" i="492"/>
  <c r="AI129" i="492"/>
  <c r="AI127" i="492"/>
  <c r="AJ126" i="492"/>
  <c r="AI126" i="492"/>
  <c r="AG126" i="492"/>
  <c r="AI106" i="492"/>
  <c r="AI104" i="492"/>
  <c r="AI103" i="492"/>
  <c r="AI102" i="492"/>
  <c r="AI100" i="492"/>
  <c r="AI99" i="492"/>
  <c r="AI98" i="492"/>
  <c r="AI97" i="492"/>
  <c r="AI96" i="492"/>
  <c r="AI95" i="492"/>
  <c r="AI93" i="492"/>
  <c r="AI92" i="492"/>
  <c r="AI91" i="492"/>
  <c r="AI90" i="492"/>
  <c r="AI88" i="492"/>
  <c r="AG88" i="492"/>
  <c r="AJ87" i="492"/>
  <c r="AI87" i="492"/>
  <c r="AH87" i="492"/>
  <c r="AG87" i="492"/>
  <c r="AI86" i="492"/>
  <c r="AI84" i="492"/>
  <c r="AI82" i="492"/>
  <c r="AI80" i="492"/>
  <c r="AI79" i="492"/>
  <c r="AI77" i="492"/>
  <c r="AI76" i="492"/>
  <c r="AI75" i="492"/>
  <c r="AI74" i="492"/>
  <c r="AI73" i="492"/>
  <c r="AI72" i="492"/>
  <c r="AI71" i="492"/>
  <c r="AI70" i="492"/>
  <c r="AI68" i="492"/>
  <c r="AI67" i="492"/>
  <c r="AI66" i="492"/>
  <c r="AI65" i="492"/>
  <c r="AI64" i="492"/>
  <c r="AI63" i="492"/>
  <c r="AG63" i="492"/>
  <c r="AK62" i="492"/>
  <c r="AJ62" i="492"/>
  <c r="AI62" i="492"/>
  <c r="AG62" i="492"/>
  <c r="AI61" i="492"/>
  <c r="AI60" i="492"/>
  <c r="AI59" i="492"/>
  <c r="AI58" i="492"/>
  <c r="AI57" i="492"/>
  <c r="AI56" i="492"/>
  <c r="AI55" i="492"/>
  <c r="AI54" i="492"/>
  <c r="AI53" i="492"/>
  <c r="AI52" i="492"/>
  <c r="AG51" i="492"/>
  <c r="AJ50" i="492"/>
  <c r="AI50" i="492"/>
  <c r="AG50" i="492"/>
  <c r="AI49" i="492"/>
  <c r="AI48" i="492"/>
  <c r="AI46" i="492"/>
  <c r="AI44" i="492"/>
  <c r="AJ43" i="492"/>
  <c r="AI43" i="492"/>
  <c r="AG43" i="492"/>
  <c r="AI42" i="492"/>
  <c r="AI41" i="492"/>
  <c r="AI39" i="492"/>
  <c r="AI37" i="492"/>
  <c r="AI36" i="492"/>
  <c r="AI35" i="492"/>
  <c r="AG35" i="492"/>
  <c r="AJ34" i="492"/>
  <c r="AI34" i="492"/>
  <c r="AG34" i="492"/>
  <c r="AI33" i="492"/>
  <c r="AI32" i="492"/>
  <c r="AI31" i="492"/>
  <c r="AI30" i="492"/>
  <c r="AI29" i="492"/>
  <c r="AI28" i="492"/>
  <c r="AI26" i="492"/>
  <c r="AI24" i="492"/>
  <c r="AI23" i="492"/>
  <c r="AI22" i="492"/>
  <c r="AG22" i="492"/>
  <c r="AJ21" i="492"/>
  <c r="AI21" i="492"/>
  <c r="AG21" i="492"/>
  <c r="AI20" i="492"/>
  <c r="AI19" i="492"/>
  <c r="AI16" i="492"/>
  <c r="AI14" i="492"/>
  <c r="AI13" i="492"/>
  <c r="AI12" i="492"/>
  <c r="AK11" i="492"/>
  <c r="AJ11" i="492"/>
  <c r="AI11" i="492"/>
  <c r="AG11" i="492"/>
  <c r="AG9" i="492"/>
  <c r="AI608" i="491"/>
  <c r="AI607" i="491"/>
  <c r="AI606" i="491"/>
  <c r="AI605" i="491"/>
  <c r="AI603" i="491"/>
  <c r="AI601" i="491"/>
  <c r="AI600" i="491"/>
  <c r="AJ598" i="491"/>
  <c r="AI598" i="491"/>
  <c r="AG598" i="491"/>
  <c r="AI596" i="491"/>
  <c r="AI594" i="491"/>
  <c r="AI593" i="491"/>
  <c r="AJ592" i="491"/>
  <c r="AI592" i="491"/>
  <c r="AG592" i="491"/>
  <c r="AI591" i="491"/>
  <c r="AI590" i="491"/>
  <c r="AI589" i="491"/>
  <c r="AI588" i="491"/>
  <c r="AI587" i="491"/>
  <c r="AI586" i="491"/>
  <c r="AI585" i="491"/>
  <c r="AI584" i="491"/>
  <c r="AI583" i="491"/>
  <c r="AI582" i="491"/>
  <c r="AG582" i="491"/>
  <c r="AK581" i="491"/>
  <c r="AJ581" i="491"/>
  <c r="AI581" i="491"/>
  <c r="AG581" i="491"/>
  <c r="AI580" i="491"/>
  <c r="AI579" i="491"/>
  <c r="AI578" i="491"/>
  <c r="AI577" i="491"/>
  <c r="AI576" i="491"/>
  <c r="AI574" i="491"/>
  <c r="AI573" i="491"/>
  <c r="AI572" i="491"/>
  <c r="AI571" i="491"/>
  <c r="AI570" i="491"/>
  <c r="AI569" i="491"/>
  <c r="AI568" i="491"/>
  <c r="AI567" i="491"/>
  <c r="AI566" i="491"/>
  <c r="AI565" i="491"/>
  <c r="AI564" i="491"/>
  <c r="AI563" i="491"/>
  <c r="AG563" i="491"/>
  <c r="AK562" i="491"/>
  <c r="AJ562" i="491"/>
  <c r="AI562" i="491"/>
  <c r="AH562" i="491"/>
  <c r="AG562" i="491"/>
  <c r="AI561" i="491"/>
  <c r="AI559" i="491"/>
  <c r="AI558" i="491"/>
  <c r="AI557" i="491"/>
  <c r="AI556" i="491"/>
  <c r="AI554" i="491"/>
  <c r="AI553" i="491"/>
  <c r="AI552" i="491"/>
  <c r="AI551" i="491"/>
  <c r="AI550" i="491"/>
  <c r="AI549" i="491"/>
  <c r="AI548" i="491"/>
  <c r="AI547" i="491"/>
  <c r="AI546" i="491"/>
  <c r="AI545" i="491"/>
  <c r="AI543" i="491"/>
  <c r="AG542" i="491"/>
  <c r="AJ541" i="491"/>
  <c r="AI541" i="491"/>
  <c r="AH541" i="491"/>
  <c r="AG541" i="491"/>
  <c r="AI540" i="491"/>
  <c r="AI538" i="491"/>
  <c r="AI537" i="491"/>
  <c r="AI536" i="491"/>
  <c r="AI534" i="491"/>
  <c r="AI532" i="491"/>
  <c r="AI531" i="491"/>
  <c r="AI529" i="491"/>
  <c r="AI528" i="491"/>
  <c r="AI527" i="491"/>
  <c r="AI526" i="491"/>
  <c r="AI525" i="491"/>
  <c r="AI524" i="491"/>
  <c r="AI523" i="491"/>
  <c r="AI522" i="491"/>
  <c r="AI521" i="491"/>
  <c r="AI520" i="491"/>
  <c r="AI518" i="491"/>
  <c r="AG517" i="491"/>
  <c r="AJ516" i="491"/>
  <c r="AI516" i="491"/>
  <c r="AG516" i="491"/>
  <c r="AI515" i="491"/>
  <c r="AI513" i="491"/>
  <c r="AI512" i="491"/>
  <c r="AI511" i="491"/>
  <c r="AI509" i="491"/>
  <c r="AI507" i="491"/>
  <c r="AI506" i="491"/>
  <c r="AI504" i="491"/>
  <c r="AI503" i="491"/>
  <c r="AI502" i="491"/>
  <c r="AI501" i="491"/>
  <c r="AI500" i="491"/>
  <c r="AI499" i="491"/>
  <c r="AI498" i="491"/>
  <c r="AI497" i="491"/>
  <c r="AI496" i="491"/>
  <c r="AI495" i="491"/>
  <c r="AI493" i="491"/>
  <c r="AG492" i="491"/>
  <c r="AJ491" i="491"/>
  <c r="AI491" i="491"/>
  <c r="AH491" i="491"/>
  <c r="AG491" i="491"/>
  <c r="AI469" i="491"/>
  <c r="AI467" i="491"/>
  <c r="AI466" i="491"/>
  <c r="AI465" i="491"/>
  <c r="AI464" i="491"/>
  <c r="AI462" i="491"/>
  <c r="AI461" i="491"/>
  <c r="AI460" i="491"/>
  <c r="AI459" i="491"/>
  <c r="AI458" i="491"/>
  <c r="AI457" i="491"/>
  <c r="AI456" i="491"/>
  <c r="AI455" i="491"/>
  <c r="AI454" i="491"/>
  <c r="AI452" i="491"/>
  <c r="AJ450" i="491"/>
  <c r="AI450" i="491"/>
  <c r="AG450" i="491"/>
  <c r="AI449" i="491"/>
  <c r="AI447" i="491"/>
  <c r="AI446" i="491"/>
  <c r="AI445" i="491"/>
  <c r="AI443" i="491"/>
  <c r="AI441" i="491"/>
  <c r="AI440" i="491"/>
  <c r="AI438" i="491"/>
  <c r="AI437" i="491"/>
  <c r="AI436" i="491"/>
  <c r="AI435" i="491"/>
  <c r="AI434" i="491"/>
  <c r="AI433" i="491"/>
  <c r="AI431" i="491"/>
  <c r="AI430" i="491"/>
  <c r="AI429" i="491"/>
  <c r="AI427" i="491"/>
  <c r="AJ425" i="491"/>
  <c r="AI425" i="491"/>
  <c r="AI424" i="491"/>
  <c r="AI422" i="491"/>
  <c r="AI421" i="491"/>
  <c r="AI420" i="491"/>
  <c r="AI418" i="491"/>
  <c r="AI416" i="491"/>
  <c r="AI415" i="491"/>
  <c r="AI413" i="491"/>
  <c r="AI412" i="491"/>
  <c r="AI411" i="491"/>
  <c r="AI410" i="491"/>
  <c r="AI409" i="491"/>
  <c r="AI408" i="491"/>
  <c r="AI407" i="491"/>
  <c r="AI406" i="491"/>
  <c r="AI405" i="491"/>
  <c r="AI403" i="491"/>
  <c r="AG402" i="491"/>
  <c r="AJ401" i="491"/>
  <c r="AI401" i="491"/>
  <c r="AH401" i="491"/>
  <c r="AG401" i="491"/>
  <c r="AI400" i="491"/>
  <c r="AI398" i="491"/>
  <c r="AI397" i="491"/>
  <c r="AI395" i="491"/>
  <c r="AI393" i="491"/>
  <c r="AI392" i="491"/>
  <c r="AI390" i="491"/>
  <c r="AI389" i="491"/>
  <c r="AI388" i="491"/>
  <c r="AI387" i="491"/>
  <c r="AI386" i="491"/>
  <c r="AI385" i="491"/>
  <c r="AI384" i="491"/>
  <c r="AI383" i="491"/>
  <c r="AI382" i="491"/>
  <c r="AG382" i="491"/>
  <c r="AJ381" i="491"/>
  <c r="AI381" i="491"/>
  <c r="AH381" i="491"/>
  <c r="AG381" i="491"/>
  <c r="AI380" i="491"/>
  <c r="AI378" i="491"/>
  <c r="AI377" i="491"/>
  <c r="AI375" i="491"/>
  <c r="AI374" i="491"/>
  <c r="AI372" i="491"/>
  <c r="AI370" i="491"/>
  <c r="AI369" i="491"/>
  <c r="AI368" i="491"/>
  <c r="AI367" i="491"/>
  <c r="AI366" i="491"/>
  <c r="AI365" i="491"/>
  <c r="AI364" i="491"/>
  <c r="AI363" i="491"/>
  <c r="AG363" i="491"/>
  <c r="AI362" i="491"/>
  <c r="AH362" i="491"/>
  <c r="AG362" i="491"/>
  <c r="AI361" i="491"/>
  <c r="AI359" i="491"/>
  <c r="AI358" i="491"/>
  <c r="AI356" i="491"/>
  <c r="AI354" i="491"/>
  <c r="AI353" i="491"/>
  <c r="AI351" i="491"/>
  <c r="AI350" i="491"/>
  <c r="AI349" i="491"/>
  <c r="AI348" i="491"/>
  <c r="AI347" i="491"/>
  <c r="AI346" i="491"/>
  <c r="AI345" i="491"/>
  <c r="AI344" i="491"/>
  <c r="AI343" i="491"/>
  <c r="AI342" i="491"/>
  <c r="AI341" i="491"/>
  <c r="AG340" i="491"/>
  <c r="AJ339" i="491"/>
  <c r="AI339" i="491"/>
  <c r="AH339" i="491"/>
  <c r="AG339" i="491"/>
  <c r="AI338" i="491"/>
  <c r="AI336" i="491"/>
  <c r="AI335" i="491"/>
  <c r="AI333" i="491"/>
  <c r="AI331" i="491"/>
  <c r="AI330" i="491"/>
  <c r="AI328" i="491"/>
  <c r="AI327" i="491"/>
  <c r="AI326" i="491"/>
  <c r="AI325" i="491"/>
  <c r="AI324" i="491"/>
  <c r="AI323" i="491"/>
  <c r="AI322" i="491"/>
  <c r="AI321" i="491"/>
  <c r="AI320" i="491"/>
  <c r="AI319" i="491"/>
  <c r="AI318" i="491"/>
  <c r="AG317" i="491"/>
  <c r="AJ316" i="491"/>
  <c r="AI316" i="491"/>
  <c r="AH316" i="491"/>
  <c r="AG316" i="491"/>
  <c r="AI315" i="491"/>
  <c r="AI313" i="491"/>
  <c r="AI312" i="491"/>
  <c r="AI310" i="491"/>
  <c r="AI308" i="491"/>
  <c r="AI307" i="491"/>
  <c r="AI305" i="491"/>
  <c r="AI304" i="491"/>
  <c r="AI303" i="491"/>
  <c r="AI302" i="491"/>
  <c r="AI301" i="491"/>
  <c r="AI300" i="491"/>
  <c r="AI299" i="491"/>
  <c r="AI298" i="491"/>
  <c r="AI297" i="491"/>
  <c r="AI296" i="491"/>
  <c r="AG295" i="491"/>
  <c r="AJ294" i="491"/>
  <c r="AI294" i="491"/>
  <c r="AH294" i="491"/>
  <c r="AG294" i="491"/>
  <c r="AI274" i="491"/>
  <c r="AI272" i="491"/>
  <c r="AI271" i="491"/>
  <c r="AI270" i="491"/>
  <c r="AI268" i="491"/>
  <c r="AI267" i="491"/>
  <c r="AI266" i="491"/>
  <c r="AI265" i="491"/>
  <c r="AI264" i="491"/>
  <c r="AI263" i="491"/>
  <c r="AI261" i="491"/>
  <c r="AI260" i="491"/>
  <c r="AI259" i="491"/>
  <c r="AI258" i="491"/>
  <c r="AI256" i="491"/>
  <c r="AJ255" i="491"/>
  <c r="AI255" i="491"/>
  <c r="AI231" i="491"/>
  <c r="AI229" i="491"/>
  <c r="AI228" i="491"/>
  <c r="AI227" i="491"/>
  <c r="AI225" i="491"/>
  <c r="AI224" i="491"/>
  <c r="AI223" i="491"/>
  <c r="AI222" i="491"/>
  <c r="AI221" i="491"/>
  <c r="AI220" i="491"/>
  <c r="AI219" i="491"/>
  <c r="AI218" i="491"/>
  <c r="AI217" i="491"/>
  <c r="AI216" i="491"/>
  <c r="AI214" i="491"/>
  <c r="AI213" i="491"/>
  <c r="AI212" i="491"/>
  <c r="AI211" i="491"/>
  <c r="AI209" i="491"/>
  <c r="AJ208" i="491"/>
  <c r="AI208" i="491"/>
  <c r="AI187" i="491"/>
  <c r="AI185" i="491"/>
  <c r="AI184" i="491"/>
  <c r="AI183" i="491"/>
  <c r="AI181" i="491"/>
  <c r="AI180" i="491"/>
  <c r="AI179" i="491"/>
  <c r="AI178" i="491"/>
  <c r="AI177" i="491"/>
  <c r="AI176" i="491"/>
  <c r="AI175" i="491"/>
  <c r="AI173" i="491"/>
  <c r="AI172" i="491"/>
  <c r="AI171" i="491"/>
  <c r="AI170" i="491"/>
  <c r="AI168" i="491"/>
  <c r="AJ167" i="491"/>
  <c r="AI167" i="491"/>
  <c r="AI166" i="491"/>
  <c r="AI164" i="491"/>
  <c r="AI162" i="491"/>
  <c r="AI160" i="491"/>
  <c r="AI159" i="491"/>
  <c r="AI158" i="491"/>
  <c r="AI157" i="491"/>
  <c r="AI156" i="491"/>
  <c r="AI155" i="491"/>
  <c r="AI154" i="491"/>
  <c r="AI152" i="491"/>
  <c r="AI150" i="491"/>
  <c r="AI149" i="491"/>
  <c r="AI146" i="491"/>
  <c r="AI145" i="491"/>
  <c r="AI144" i="491"/>
  <c r="AI143" i="491"/>
  <c r="AI141" i="491"/>
  <c r="AI140" i="491"/>
  <c r="AI139" i="491"/>
  <c r="AI138" i="491"/>
  <c r="AI137" i="491"/>
  <c r="AI136" i="491"/>
  <c r="AG136" i="491"/>
  <c r="AK135" i="491"/>
  <c r="AJ135" i="491"/>
  <c r="AI135" i="491"/>
  <c r="AG135" i="491"/>
  <c r="AI134" i="491"/>
  <c r="AI133" i="491"/>
  <c r="AI132" i="491"/>
  <c r="AI131" i="491"/>
  <c r="AI130" i="491"/>
  <c r="AI129" i="491"/>
  <c r="AI128" i="491"/>
  <c r="AI127" i="491"/>
  <c r="AI126" i="491"/>
  <c r="AI125" i="491"/>
  <c r="AI123" i="491"/>
  <c r="AI121" i="491"/>
  <c r="AI120" i="491"/>
  <c r="AI119" i="491"/>
  <c r="AI116" i="491"/>
  <c r="AI115" i="491"/>
  <c r="AI114" i="491"/>
  <c r="AG113" i="491"/>
  <c r="AJ112" i="491"/>
  <c r="AI112" i="491"/>
  <c r="AG112" i="491"/>
  <c r="AI111" i="491"/>
  <c r="AI110" i="491"/>
  <c r="AI109" i="491"/>
  <c r="AI108" i="491"/>
  <c r="AI107" i="491"/>
  <c r="AI106" i="491"/>
  <c r="AI105" i="491"/>
  <c r="AI104" i="491"/>
  <c r="AI102" i="491"/>
  <c r="AI101" i="491"/>
  <c r="AI100" i="491"/>
  <c r="AI99" i="491"/>
  <c r="AI97" i="491"/>
  <c r="AI95" i="491"/>
  <c r="AI93" i="491"/>
  <c r="AI91" i="491"/>
  <c r="AI90" i="491"/>
  <c r="AI87" i="491"/>
  <c r="AI86" i="491"/>
  <c r="AI85" i="491"/>
  <c r="AG85" i="491"/>
  <c r="AK84" i="491"/>
  <c r="AJ84" i="491"/>
  <c r="AI84" i="491"/>
  <c r="AG84" i="491"/>
  <c r="AI83" i="491"/>
  <c r="AI82" i="491"/>
  <c r="AI80" i="491"/>
  <c r="AI78" i="491"/>
  <c r="AJ77" i="491"/>
  <c r="AI77" i="491"/>
  <c r="AG77" i="491"/>
  <c r="AI76" i="491"/>
  <c r="AI75" i="491"/>
  <c r="AI74" i="491"/>
  <c r="AI72" i="491"/>
  <c r="AI69" i="491"/>
  <c r="AI67" i="491"/>
  <c r="AI66" i="491"/>
  <c r="AI65" i="491"/>
  <c r="AG65" i="491"/>
  <c r="AJ64" i="491"/>
  <c r="AI64" i="491"/>
  <c r="AG64" i="491"/>
  <c r="AI61" i="491"/>
  <c r="AI60" i="491"/>
  <c r="AI59" i="491"/>
  <c r="AI58" i="491"/>
  <c r="AI57" i="491"/>
  <c r="AI56" i="491"/>
  <c r="AI55" i="491"/>
  <c r="AI54" i="491"/>
  <c r="AI52" i="491"/>
  <c r="AI50" i="491"/>
  <c r="AI49" i="491"/>
  <c r="AG49" i="491"/>
  <c r="AI48" i="491"/>
  <c r="AJ47" i="491"/>
  <c r="AI47" i="491"/>
  <c r="AG47" i="491"/>
  <c r="AI46" i="491"/>
  <c r="AI45" i="491"/>
  <c r="AI44" i="491"/>
  <c r="AI43" i="491"/>
  <c r="AI41" i="491"/>
  <c r="AI39" i="491"/>
  <c r="AI38" i="491"/>
  <c r="AI37" i="491"/>
  <c r="AK36" i="491"/>
  <c r="AI36" i="491"/>
  <c r="AG36" i="491"/>
  <c r="AI35" i="491"/>
  <c r="AI33" i="491"/>
  <c r="AI31" i="491"/>
  <c r="AI29" i="491"/>
  <c r="AI28" i="491"/>
  <c r="AI26" i="491"/>
  <c r="AI24" i="491"/>
  <c r="AI22" i="491"/>
  <c r="AI20" i="491"/>
  <c r="AI18" i="491"/>
  <c r="AI17" i="491"/>
  <c r="AI16" i="491"/>
  <c r="AI15" i="491"/>
  <c r="AI14" i="491"/>
  <c r="AG12" i="491"/>
  <c r="AG11" i="491"/>
  <c r="AG9" i="491"/>
</calcChain>
</file>

<file path=xl/sharedStrings.xml><?xml version="1.0" encoding="utf-8"?>
<sst xmlns="http://schemas.openxmlformats.org/spreadsheetml/2006/main" count="7031" uniqueCount="566">
  <si>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</si>
  <si>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</si>
  <si>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</si>
  <si>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</si>
  <si>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</si>
  <si>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</si>
  <si>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</si>
  <si>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</si>
  <si>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</si>
  <si>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</si>
  <si>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</si>
  <si>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</si>
  <si>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</si>
  <si>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</si>
  <si>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</si>
  <si>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</si>
  <si>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</si>
  <si>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</si>
  <si>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</si>
  <si>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</si>
  <si>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</si>
  <si>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</si>
  <si>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</si>
  <si>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</si>
  <si>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</si>
  <si>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</si>
  <si>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</si>
  <si>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</si>
  <si>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</si>
  <si>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</si>
  <si>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</si>
  <si>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</si>
  <si>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</si>
  <si>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</si>
  <si>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</si>
  <si>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</si>
  <si>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</si>
  <si>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</si>
  <si>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</si>
  <si>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</si>
  <si>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</si>
  <si>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</si>
  <si>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</si>
  <si>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</si>
  <si>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</si>
  <si>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</si>
  <si>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</si>
  <si>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</si>
  <si>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</si>
  <si>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</si>
  <si>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</si>
  <si>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</si>
  <si>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</si>
  <si>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</si>
  <si>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</si>
  <si>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</si>
  <si>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</si>
  <si>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</si>
  <si>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</si>
  <si>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</si>
  <si>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</si>
  <si>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</si>
  <si>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</si>
  <si>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</si>
  <si>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</si>
  <si>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</si>
  <si>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</si>
  <si>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</si>
  <si>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</si>
  <si>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</si>
  <si>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</si>
  <si>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</si>
  <si>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</si>
  <si>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</si>
  <si>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</si>
  <si>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</si>
  <si>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</si>
  <si>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</si>
  <si>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</si>
  <si>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</si>
  <si>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</si>
  <si>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</si>
  <si>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</si>
  <si>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</si>
  <si>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</si>
  <si>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</si>
  <si>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</si>
  <si>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</si>
  <si>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</si>
  <si>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</si>
  <si>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</si>
  <si>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</si>
  <si>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</si>
  <si>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</si>
  <si>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</si>
  <si>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</si>
  <si>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</si>
  <si>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</si>
  <si>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</si>
  <si>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</si>
  <si>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</si>
  <si>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</si>
  <si>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</si>
  <si>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身体拘束廃止取組の有無</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</si>
  <si>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</si>
  <si>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</si>
  <si>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</si>
  <si>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</si>
  <si>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</si>
  <si>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</si>
  <si>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</si>
  <si>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</si>
  <si>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</si>
  <si>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</si>
  <si>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</si>
  <si>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</si>
  <si>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</si>
  <si>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</si>
  <si>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</si>
  <si>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</si>
  <si>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</si>
  <si>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</si>
  <si>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</si>
  <si>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</si>
  <si>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</si>
  <si>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</si>
  <si>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</si>
  <si>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</si>
  <si>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</si>
  <si>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</si>
  <si>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</si>
  <si>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</si>
  <si>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</si>
  <si>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</si>
  <si>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</si>
  <si>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</si>
  <si>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</si>
  <si>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</si>
  <si>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</si>
  <si>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</si>
  <si>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</si>
  <si>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</si>
  <si>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</si>
  <si>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</si>
  <si>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</si>
  <si>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</si>
  <si>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</si>
  <si>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</si>
  <si>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</si>
  <si>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</si>
  <si>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</si>
  <si>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</si>
  <si>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</si>
  <si>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</si>
  <si>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</si>
  <si>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</si>
  <si>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４　ユニット型Ⅰ型介護医療院</t>
    <rPh sb="8" eb="9">
      <t>ガタ</t>
    </rPh>
    <rPh sb="9" eb="11">
      <t>カイゴ</t>
    </rPh>
    <rPh sb="11" eb="13">
      <t>イリョウ</t>
    </rPh>
    <rPh sb="13" eb="14">
      <t>イン</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</si>
  <si>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</si>
  <si>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</si>
  <si>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</si>
  <si>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</si>
  <si>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</si>
  <si>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</si>
  <si>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</si>
  <si>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</si>
  <si>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</si>
  <si>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</si>
  <si>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</si>
  <si>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</si>
  <si>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</si>
  <si>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</si>
  <si>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</si>
  <si>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</si>
  <si>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</si>
  <si>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</si>
  <si>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科学的介護推進体制加算</t>
    <rPh sb="0" eb="3">
      <t>カガクテキ</t>
    </rPh>
    <rPh sb="3" eb="5">
      <t>カイゴ</t>
    </rPh>
    <rPh sb="5" eb="7">
      <t>スイシン</t>
    </rPh>
    <rPh sb="7" eb="9">
      <t>タイセイ</t>
    </rPh>
    <rPh sb="9" eb="11">
      <t>カサン</t>
    </rPh>
    <phoneticPr fontId="1"/>
  </si>
  <si>
    <t>個別機能訓練加算</t>
    <rPh sb="0" eb="2">
      <t>コベツ</t>
    </rPh>
    <rPh sb="2" eb="4">
      <t>キノウ</t>
    </rPh>
    <rPh sb="4" eb="8">
      <t>クンレンカサン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</si>
  <si>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</si>
  <si>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</si>
  <si>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</si>
  <si>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</si>
  <si>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</si>
  <si>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</si>
  <si>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</si>
  <si>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</si>
  <si>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</si>
  <si>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</si>
  <si>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</si>
  <si>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</si>
  <si>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</si>
  <si>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</si>
  <si>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</si>
  <si>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</si>
  <si>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</si>
  <si>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</si>
  <si>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</si>
  <si>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</si>
  <si>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</si>
  <si>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</si>
  <si>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</si>
  <si>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</si>
  <si>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</si>
  <si>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</si>
  <si>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</si>
  <si>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</si>
  <si>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</si>
  <si>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</si>
  <si>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</si>
  <si>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</si>
  <si>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</si>
  <si>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</si>
  <si>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</si>
  <si>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</si>
  <si>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</si>
  <si>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</si>
  <si>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</si>
  <si>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</si>
  <si>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</si>
  <si>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</si>
  <si>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</si>
  <si>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</si>
  <si>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</si>
  <si>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</si>
  <si>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</si>
  <si>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</si>
  <si>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</si>
  <si>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</si>
  <si>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</si>
  <si>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</si>
  <si>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</si>
  <si>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</si>
  <si>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</si>
  <si>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</si>
  <si>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</si>
  <si>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</si>
  <si>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</si>
  <si>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</si>
  <si>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</si>
  <si>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</si>
  <si>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</si>
  <si>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</si>
  <si>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</si>
  <si>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</si>
  <si>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</si>
  <si>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</si>
  <si>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</si>
  <si>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</si>
  <si>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</si>
  <si>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</si>
  <si>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</si>
  <si>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</si>
  <si>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</si>
  <si>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</si>
  <si>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</si>
  <si>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</si>
  <si>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</si>
  <si>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</si>
  <si>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</si>
  <si>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</si>
  <si>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</si>
  <si>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</si>
  <si>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</si>
  <si>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</si>
  <si>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</si>
  <si>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</si>
  <si>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</si>
  <si>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</si>
  <si>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</si>
  <si>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</si>
  <si>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</si>
  <si>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</si>
  <si>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</si>
  <si>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</si>
  <si>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</si>
  <si>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</si>
  <si>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</si>
  <si>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</si>
  <si>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</si>
  <si>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</si>
  <si>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</si>
  <si>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</si>
  <si>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</si>
  <si>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</si>
  <si>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</si>
  <si>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</si>
  <si>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</si>
  <si>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</si>
  <si>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</si>
  <si>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</si>
  <si>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</si>
  <si>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</si>
  <si>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</si>
  <si>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</si>
  <si>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</si>
  <si>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</si>
  <si>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</si>
  <si>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</si>
  <si>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</si>
  <si>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</si>
  <si>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</si>
  <si>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</si>
  <si>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</si>
  <si>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</si>
  <si>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</si>
  <si>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</si>
  <si>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</si>
  <si>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</si>
  <si>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</si>
  <si>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</si>
  <si>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</si>
  <si>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</si>
  <si>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</si>
  <si>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</si>
  <si>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</si>
  <si>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</si>
  <si>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</si>
  <si>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</si>
  <si>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</si>
  <si>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</si>
  <si>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</si>
  <si>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</si>
  <si>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</si>
  <si>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</si>
  <si>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</si>
  <si>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</si>
  <si>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</si>
  <si>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</si>
  <si>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</si>
  <si>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</si>
  <si>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</si>
  <si>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</si>
  <si>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</si>
  <si>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</si>
  <si>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</si>
  <si>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</si>
  <si>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</si>
  <si>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</si>
  <si>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</si>
  <si>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</si>
  <si>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</si>
  <si>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</si>
  <si>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</si>
  <si>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</si>
  <si>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</si>
  <si>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</si>
  <si>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</si>
  <si>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</si>
  <si>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</si>
  <si>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</si>
  <si>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</si>
  <si>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</si>
  <si>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</si>
  <si>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</si>
  <si>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</si>
  <si>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</si>
  <si>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</si>
  <si>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</si>
  <si>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</si>
  <si>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</si>
  <si>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</si>
  <si>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</si>
  <si>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</si>
  <si>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</si>
  <si>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</si>
  <si>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t>
    <phoneticPr fontId="1"/>
  </si>
  <si>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</si>
  <si>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</si>
  <si>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</si>
  <si>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</si>
  <si>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</si>
  <si>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</si>
  <si>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</si>
  <si>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</si>
  <si>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</si>
  <si>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</si>
  <si>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</si>
  <si>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</si>
  <si>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</si>
  <si>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</si>
  <si>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</si>
  <si>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</si>
  <si>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</si>
  <si>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</si>
  <si>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</si>
  <si>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</si>
  <si>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</si>
  <si>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</si>
  <si>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</si>
  <si>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</si>
  <si>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</si>
  <si>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業務継続計画策定の有無</t>
    <phoneticPr fontId="1"/>
  </si>
  <si>
    <t>特別地域加算</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</si>
  <si>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</si>
  <si>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</si>
  <si>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</si>
  <si>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</si>
  <si>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</si>
  <si>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</si>
  <si>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</si>
  <si>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</si>
  <si>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</si>
  <si>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</si>
  <si>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</si>
  <si>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</si>
  <si>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</si>
  <si>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</si>
  <si>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</si>
  <si>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</si>
  <si>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</si>
  <si>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</si>
  <si>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</si>
  <si>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</si>
  <si>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</si>
  <si>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</si>
  <si>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</si>
  <si>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</si>
  <si>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</si>
  <si>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</si>
  <si>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</si>
  <si>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</si>
  <si>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</si>
  <si>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</si>
  <si>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</si>
  <si>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</si>
  <si>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</si>
  <si>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</si>
  <si>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</si>
  <si>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</si>
  <si>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</si>
  <si>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</si>
  <si>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</si>
  <si>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</si>
  <si>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</si>
  <si>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</si>
  <si>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</si>
  <si>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</si>
  <si>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</si>
  <si>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</si>
  <si>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</si>
  <si>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</si>
  <si>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</si>
  <si>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</si>
  <si>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</si>
  <si>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</si>
  <si>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</si>
  <si>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</si>
  <si>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</si>
  <si>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</si>
  <si>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</si>
  <si>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</si>
  <si>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</si>
  <si>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</si>
  <si>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</si>
  <si>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</si>
  <si>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</si>
  <si>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</si>
  <si>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</si>
  <si>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</si>
  <si>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</si>
  <si>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</si>
  <si>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</si>
  <si>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</si>
  <si>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</si>
  <si>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</si>
  <si>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</si>
  <si>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</si>
  <si>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</si>
  <si>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</si>
  <si>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</si>
  <si>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</si>
  <si>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</si>
  <si>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</si>
  <si>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</si>
  <si>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</si>
  <si>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</si>
  <si>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</si>
  <si>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</si>
  <si>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</si>
  <si>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</si>
  <si>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</si>
  <si>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</si>
  <si>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</si>
  <si>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</si>
  <si>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</si>
  <si>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</si>
  <si>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</si>
  <si>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</si>
  <si>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</si>
  <si>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</si>
  <si>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</si>
  <si>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</si>
  <si>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</si>
  <si>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</si>
  <si>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</si>
  <si>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</si>
  <si>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</si>
  <si>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</si>
  <si>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</si>
  <si>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</si>
  <si>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</si>
  <si>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</si>
  <si>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</si>
  <si>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</si>
  <si>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</si>
  <si>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</si>
  <si>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</si>
  <si>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</si>
  <si>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</si>
  <si>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</si>
  <si>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</si>
  <si>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</si>
  <si>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</si>
  <si>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</si>
  <si>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</si>
  <si>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</si>
  <si>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</si>
  <si>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</si>
  <si>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</si>
  <si>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</si>
  <si>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</si>
  <si>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</si>
  <si>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</si>
  <si>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</si>
  <si>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</si>
  <si>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</si>
  <si>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</si>
  <si>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</si>
  <si>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</si>
  <si>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</si>
  <si>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</si>
  <si>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</si>
  <si>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</si>
  <si>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</si>
  <si>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</si>
  <si>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</si>
  <si>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</si>
  <si>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</si>
  <si>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</si>
  <si>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</si>
  <si>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</si>
  <si>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</si>
  <si>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</si>
  <si>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</si>
  <si>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</si>
  <si>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</si>
  <si>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</si>
  <si>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</si>
  <si>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</si>
  <si>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</si>
  <si>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</si>
  <si>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</si>
  <si>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</si>
  <si>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</si>
  <si>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月</t>
    <rPh sb="0" eb="1">
      <t>ガツ</t>
    </rPh>
    <phoneticPr fontId="1"/>
  </si>
  <si>
    <t>日</t>
    <rPh sb="0" eb="1">
      <t>ニチ</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</si>
  <si>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</si>
  <si>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</si>
  <si>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（別紙１－１）</t>
    <rPh sb="1" eb="3">
      <t>ベッシ</t>
    </rPh>
    <phoneticPr fontId="1"/>
  </si>
  <si>
    <t>（別紙１－２）</t>
    <phoneticPr fontId="1"/>
  </si>
  <si>
    <t>１　介護老人保健施設（Ⅰ）</t>
    <phoneticPr fontId="1"/>
  </si>
  <si>
    <t>事業所名</t>
  </si>
  <si>
    <t>　２７</t>
    <phoneticPr fontId="1"/>
  </si>
  <si>
    <t>１　新規　　２　変更　　３　終了</t>
    <phoneticPr fontId="1"/>
  </si>
  <si>
    <t>異動年月日</t>
    <rPh sb="0" eb="2">
      <t>イドウ</t>
    </rPh>
    <rPh sb="2" eb="5">
      <t>ネンガッピ</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</si>
  <si>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</si>
  <si>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１　訪問看護ステーション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</si>
</sst>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
      <sz val="11"/>
      <name val="HGｺﾞｼｯｸM"/>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73" applyNumberFormat="0" applyFont="0" applyAlignment="0" applyProtection="0">
      <alignment vertical="center"/>
    </xf>
    <xf numFmtId="0" fontId="19" fillId="0" borderId="74" applyNumberFormat="0" applyFill="0" applyAlignment="0" applyProtection="0">
      <alignment vertical="center"/>
    </xf>
    <xf numFmtId="0" fontId="20" fillId="30" borderId="0" applyNumberFormat="0" applyBorder="0" applyAlignment="0" applyProtection="0">
      <alignment vertical="center"/>
    </xf>
    <xf numFmtId="0" fontId="21" fillId="31" borderId="7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6" applyNumberFormat="0" applyFill="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5" fillId="0" borderId="0" applyNumberFormat="0" applyFill="0" applyBorder="0" applyAlignment="0" applyProtection="0">
      <alignment vertical="center"/>
    </xf>
    <xf numFmtId="0" fontId="26" fillId="0" borderId="79" applyNumberFormat="0" applyFill="0" applyAlignment="0" applyProtection="0">
      <alignment vertical="center"/>
    </xf>
    <xf numFmtId="0" fontId="27" fillId="31" borderId="80" applyNumberFormat="0" applyAlignment="0" applyProtection="0">
      <alignment vertical="center"/>
    </xf>
    <xf numFmtId="0" fontId="28" fillId="0" borderId="0" applyNumberFormat="0" applyFill="0" applyBorder="0" applyAlignment="0" applyProtection="0">
      <alignment vertical="center"/>
    </xf>
    <xf numFmtId="0" fontId="29" fillId="2" borderId="75"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4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1"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10" fillId="0" borderId="0" xfId="0" applyFont="1" applyAlignment="1">
      <alignment horizontal="left" vertical="center"/>
    </xf>
    <xf numFmtId="0" fontId="3" fillId="0" borderId="0" xfId="0" applyFont="1" applyAlignment="1">
      <alignment horizontal="center"/>
    </xf>
    <xf numFmtId="0" fontId="11" fillId="0" borderId="0" xfId="0" applyFont="1" applyAlignment="1">
      <alignment horizontal="center" vertical="center"/>
    </xf>
    <xf numFmtId="0" fontId="3" fillId="0" borderId="0" xfId="0" applyFont="1" applyAlignment="1">
      <alignment vertical="top" wrapText="1"/>
    </xf>
    <xf numFmtId="0" fontId="3" fillId="0" borderId="43" xfId="0" applyFont="1" applyFill="1" applyBorder="1" applyAlignment="1">
      <alignment horizontal="left" vertical="center" wrapText="1"/>
    </xf>
    <xf numFmtId="0" fontId="3" fillId="0" borderId="13" xfId="0" applyFont="1" applyFill="1" applyBorder="1" applyAlignment="1">
      <alignment vertical="center"/>
    </xf>
    <xf numFmtId="0" fontId="8" fillId="0" borderId="13" xfId="0" applyFont="1" applyFill="1" applyBorder="1" applyAlignment="1">
      <alignment vertical="center"/>
    </xf>
    <xf numFmtId="0" fontId="31"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left" vertical="center"/>
    </xf>
    <xf numFmtId="0" fontId="32" fillId="0" borderId="7" xfId="0" applyFont="1" applyFill="1" applyBorder="1" applyAlignment="1">
      <alignment horizontal="left" vertical="center"/>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46" xfId="0" applyFont="1" applyFill="1" applyBorder="1" applyAlignment="1">
      <alignment horizontal="center" vertical="center"/>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4"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4" xfId="0" applyFont="1" applyFill="1" applyBorder="1" applyAlignment="1">
      <alignment horizontal="left" vertical="center" wrapText="1"/>
    </xf>
    <xf numFmtId="0" fontId="0" fillId="0" borderId="55"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9" xfId="0" applyFont="1" applyFill="1" applyBorder="1" applyAlignment="1">
      <alignment horizontal="left" vertical="center"/>
    </xf>
    <xf numFmtId="0" fontId="0" fillId="0" borderId="81"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0" xfId="0" applyFont="1" applyFill="1" applyAlignment="1">
      <alignment horizontal="center"/>
    </xf>
    <xf numFmtId="0" fontId="3" fillId="0" borderId="0" xfId="0" applyFont="1" applyFill="1"/>
    <xf numFmtId="0" fontId="32" fillId="0" borderId="0" xfId="0" applyFont="1" applyFill="1" applyAlignment="1">
      <alignment horizontal="left" vertical="center"/>
    </xf>
    <xf numFmtId="14" fontId="3" fillId="0" borderId="0" xfId="0" applyNumberFormat="1" applyFont="1" applyFill="1" applyAlignment="1">
      <alignment horizontal="left" vertical="center"/>
    </xf>
    <xf numFmtId="0" fontId="0" fillId="0" borderId="56" xfId="0" applyFont="1" applyFill="1" applyBorder="1" applyAlignment="1" applyProtection="1">
      <alignment horizontal="center" vertical="center"/>
      <protection locked="0"/>
    </xf>
    <xf numFmtId="0" fontId="3" fillId="0" borderId="44" xfId="0" applyFont="1" applyFill="1" applyBorder="1" applyAlignment="1">
      <alignment vertical="center"/>
    </xf>
    <xf numFmtId="0" fontId="31" fillId="0" borderId="27" xfId="0" applyFont="1" applyFill="1" applyBorder="1" applyAlignment="1">
      <alignment horizontal="left" vertical="center"/>
    </xf>
    <xf numFmtId="0" fontId="31" fillId="0" borderId="36" xfId="0" applyFont="1" applyFill="1" applyBorder="1" applyAlignment="1">
      <alignment horizontal="left" vertical="center"/>
    </xf>
    <xf numFmtId="0" fontId="3" fillId="0" borderId="41" xfId="0" applyFont="1" applyFill="1" applyBorder="1" applyAlignment="1" applyProtection="1">
      <alignment horizontal="left" vertical="center"/>
      <protection locked="0"/>
    </xf>
    <xf numFmtId="0" fontId="9" fillId="0" borderId="16" xfId="0" applyFont="1" applyFill="1" applyBorder="1" applyAlignment="1">
      <alignment vertical="center"/>
    </xf>
    <xf numFmtId="0" fontId="9" fillId="0" borderId="15" xfId="0" applyFont="1" applyFill="1" applyBorder="1" applyAlignment="1">
      <alignment horizontal="center" vertical="center"/>
    </xf>
    <xf numFmtId="0" fontId="9" fillId="0" borderId="47" xfId="0" applyFont="1" applyFill="1" applyBorder="1" applyAlignment="1">
      <alignment vertical="center"/>
    </xf>
    <xf numFmtId="0" fontId="9" fillId="0" borderId="16" xfId="0" applyFont="1" applyFill="1" applyBorder="1" applyAlignment="1">
      <alignment horizontal="left" vertical="center"/>
    </xf>
    <xf numFmtId="0" fontId="9" fillId="0" borderId="15" xfId="0" applyFont="1" applyFill="1" applyBorder="1" applyAlignment="1">
      <alignment vertical="center" wrapText="1"/>
    </xf>
    <xf numFmtId="0" fontId="9" fillId="0" borderId="3" xfId="0" applyFont="1" applyFill="1" applyBorder="1" applyAlignment="1">
      <alignment horizontal="left" vertical="center" wrapText="1"/>
    </xf>
    <xf numFmtId="0" fontId="9" fillId="0" borderId="1" xfId="0" applyFont="1" applyFill="1" applyBorder="1" applyAlignment="1">
      <alignment vertical="center"/>
    </xf>
    <xf numFmtId="0" fontId="9" fillId="0" borderId="4" xfId="0" applyFont="1" applyFill="1" applyBorder="1" applyAlignment="1">
      <alignment vertical="top"/>
    </xf>
    <xf numFmtId="0" fontId="9" fillId="0" borderId="1" xfId="0" applyFont="1" applyFill="1" applyBorder="1" applyAlignment="1">
      <alignment vertical="top"/>
    </xf>
    <xf numFmtId="0" fontId="36" fillId="0" borderId="17" xfId="0" applyFont="1" applyFill="1" applyBorder="1" applyAlignment="1" applyProtection="1">
      <alignment horizontal="center" vertical="center"/>
      <protection locked="0"/>
    </xf>
    <xf numFmtId="0" fontId="9" fillId="0" borderId="17" xfId="0" applyFont="1" applyFill="1" applyBorder="1" applyAlignment="1">
      <alignment horizontal="left" vertical="center" wrapText="1"/>
    </xf>
    <xf numFmtId="0" fontId="9" fillId="0" borderId="46" xfId="0" applyFont="1" applyFill="1" applyBorder="1" applyAlignment="1">
      <alignment vertical="center"/>
    </xf>
    <xf numFmtId="0" fontId="0" fillId="0" borderId="46" xfId="0" applyFont="1" applyFill="1" applyBorder="1" applyAlignment="1">
      <alignment vertical="center"/>
    </xf>
    <xf numFmtId="0" fontId="9" fillId="0" borderId="0" xfId="0" applyFont="1" applyFill="1" applyAlignment="1">
      <alignment vertical="top"/>
    </xf>
    <xf numFmtId="0" fontId="9" fillId="0" borderId="46" xfId="0" applyFont="1" applyFill="1" applyBorder="1" applyAlignment="1">
      <alignment vertical="top"/>
    </xf>
    <xf numFmtId="0" fontId="9" fillId="0" borderId="16" xfId="0" applyFont="1" applyFill="1" applyBorder="1" applyAlignment="1">
      <alignment horizontal="center" vertical="center" wrapText="1"/>
    </xf>
    <xf numFmtId="0" fontId="9" fillId="0" borderId="15" xfId="0" applyFont="1" applyFill="1" applyBorder="1" applyAlignment="1">
      <alignment vertical="center"/>
    </xf>
    <xf numFmtId="0" fontId="0" fillId="0" borderId="15" xfId="0" applyFont="1" applyFill="1" applyBorder="1" applyAlignment="1">
      <alignmen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38" xfId="0" applyFont="1" applyFill="1" applyBorder="1" applyAlignment="1">
      <alignment vertical="top"/>
    </xf>
    <xf numFmtId="0" fontId="3" fillId="0" borderId="39" xfId="0" applyFont="1" applyFill="1" applyBorder="1" applyAlignment="1">
      <alignment horizontal="left" vertical="center" wrapText="1"/>
    </xf>
    <xf numFmtId="0" fontId="3" fillId="0" borderId="53" xfId="0" applyFont="1" applyFill="1" applyBorder="1" applyAlignment="1">
      <alignment vertical="center" wrapText="1" shrinkToFit="1"/>
    </xf>
    <xf numFmtId="0" fontId="3" fillId="0" borderId="16" xfId="0" applyFont="1" applyFill="1" applyBorder="1" applyAlignment="1">
      <alignment vertical="center" wrapText="1"/>
    </xf>
    <xf numFmtId="0" fontId="0" fillId="0" borderId="0" xfId="0" applyFill="1"/>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2"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12" fillId="0" borderId="6" xfId="0" applyNumberFormat="1" applyFont="1" applyFill="1" applyBorder="1" applyAlignment="1">
      <alignment horizontal="left" vertical="center"/>
    </xf>
    <xf numFmtId="49" fontId="12" fillId="0" borderId="7" xfId="0" applyNumberFormat="1" applyFont="1" applyFill="1" applyBorder="1" applyAlignment="1">
      <alignment horizontal="left" vertical="center"/>
    </xf>
    <xf numFmtId="49" fontId="12" fillId="0" borderId="8" xfId="0" applyNumberFormat="1" applyFont="1" applyFill="1" applyBorder="1" applyAlignment="1">
      <alignment horizontal="left" vertical="center"/>
    </xf>
    <xf numFmtId="0" fontId="12" fillId="0" borderId="2"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60" xfId="0" applyFont="1" applyFill="1" applyBorder="1" applyAlignment="1">
      <alignment vertical="top"/>
    </xf>
    <xf numFmtId="0" fontId="0" fillId="0" borderId="61" xfId="0" applyFont="1" applyFill="1" applyBorder="1"/>
    <xf numFmtId="0" fontId="0" fillId="0" borderId="62" xfId="0" applyFont="1" applyFill="1" applyBorder="1"/>
    <xf numFmtId="0" fontId="0" fillId="0" borderId="60" xfId="0" applyFont="1" applyFill="1" applyBorder="1"/>
    <xf numFmtId="0" fontId="0" fillId="0" borderId="63" xfId="0" applyFont="1" applyFill="1" applyBorder="1"/>
    <xf numFmtId="0" fontId="0" fillId="0" borderId="64" xfId="0" applyFont="1" applyFill="1" applyBorder="1"/>
    <xf numFmtId="0" fontId="0" fillId="0" borderId="65"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7" xfId="0" applyFont="1" applyFill="1" applyBorder="1" applyAlignment="1">
      <alignment vertical="center" wrapText="1"/>
    </xf>
    <xf numFmtId="0" fontId="3" fillId="0" borderId="44" xfId="0" applyFont="1" applyFill="1" applyBorder="1" applyAlignment="1">
      <alignment vertical="center" wrapText="1"/>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0" fillId="0" borderId="60" xfId="0" applyFont="1" applyFill="1" applyBorder="1" applyAlignment="1">
      <alignment vertical="top"/>
    </xf>
    <xf numFmtId="0" fontId="0" fillId="0" borderId="61" xfId="0" applyFont="1" applyFill="1" applyBorder="1" applyAlignment="1">
      <alignment vertical="top"/>
    </xf>
    <xf numFmtId="0" fontId="0" fillId="0" borderId="62" xfId="0" applyFont="1" applyFill="1" applyBorder="1" applyAlignment="1">
      <alignment vertical="top"/>
    </xf>
    <xf numFmtId="0" fontId="0" fillId="0" borderId="63" xfId="0" applyFont="1" applyFill="1" applyBorder="1" applyAlignment="1">
      <alignment vertical="top"/>
    </xf>
    <xf numFmtId="0" fontId="0" fillId="0" borderId="64" xfId="0" applyFont="1" applyFill="1" applyBorder="1" applyAlignment="1">
      <alignment vertical="top"/>
    </xf>
    <xf numFmtId="0" fontId="0" fillId="0" borderId="65" xfId="0" applyFont="1" applyFill="1" applyBorder="1" applyAlignment="1">
      <alignment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63" xfId="0" applyFont="1" applyFill="1" applyBorder="1" applyAlignment="1">
      <alignment horizontal="center" vertical="top"/>
    </xf>
    <xf numFmtId="0" fontId="3" fillId="0" borderId="64" xfId="0" applyFont="1" applyFill="1" applyBorder="1" applyAlignment="1">
      <alignment horizontal="center" vertical="top"/>
    </xf>
    <xf numFmtId="0" fontId="3" fillId="0" borderId="65" xfId="0" applyFont="1" applyFill="1" applyBorder="1" applyAlignment="1">
      <alignment horizontal="center" vertical="top"/>
    </xf>
    <xf numFmtId="0" fontId="0" fillId="0" borderId="57" xfId="0" applyFont="1" applyFill="1" applyBorder="1" applyAlignment="1">
      <alignment horizontal="center" vertical="center"/>
    </xf>
    <xf numFmtId="0" fontId="0" fillId="0" borderId="12" xfId="0" applyFont="1" applyFill="1" applyBorder="1" applyAlignment="1" applyProtection="1">
      <alignment horizontal="center" vertical="center" wrapText="1"/>
      <protection locked="0"/>
    </xf>
    <xf numFmtId="0" fontId="3" fillId="0" borderId="13" xfId="0" applyFont="1" applyFill="1" applyBorder="1" applyAlignment="1">
      <alignment horizontal="left" vertical="center"/>
    </xf>
    <xf numFmtId="0" fontId="0" fillId="0" borderId="13" xfId="0" applyFont="1" applyFill="1" applyBorder="1" applyAlignment="1" applyProtection="1">
      <alignment horizontal="center" vertical="center" wrapText="1"/>
      <protection locked="0"/>
    </xf>
    <xf numFmtId="0" fontId="8" fillId="0" borderId="25" xfId="0" applyFont="1" applyFill="1" applyBorder="1" applyAlignment="1">
      <alignment horizontal="left" vertical="center"/>
    </xf>
    <xf numFmtId="0" fontId="8" fillId="0" borderId="48" xfId="0" applyFont="1" applyFill="1" applyBorder="1" applyAlignment="1">
      <alignment horizontal="left" vertical="center"/>
    </xf>
    <xf numFmtId="0" fontId="8" fillId="0" borderId="47" xfId="0" applyFont="1" applyFill="1" applyBorder="1" applyAlignment="1">
      <alignment horizontal="left" vertical="center"/>
    </xf>
    <xf numFmtId="0" fontId="35" fillId="0" borderId="3" xfId="0" applyFont="1" applyFill="1" applyBorder="1" applyAlignment="1">
      <alignment horizontal="left" vertical="center"/>
    </xf>
    <xf numFmtId="0" fontId="0" fillId="0" borderId="4" xfId="0" applyFont="1" applyFill="1" applyBorder="1" applyAlignment="1">
      <alignment vertical="center"/>
    </xf>
    <xf numFmtId="0" fontId="0" fillId="0" borderId="1"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Alignment="1">
      <alignment vertical="center"/>
    </xf>
    <xf numFmtId="0" fontId="0" fillId="0" borderId="46" xfId="0" applyFont="1" applyFill="1" applyBorder="1" applyAlignment="1">
      <alignment vertical="center"/>
    </xf>
    <xf numFmtId="0" fontId="0" fillId="0" borderId="16" xfId="0" applyFont="1" applyFill="1" applyBorder="1" applyAlignment="1">
      <alignment vertical="center"/>
    </xf>
    <xf numFmtId="0" fontId="0" fillId="0" borderId="5" xfId="0" applyFont="1" applyFill="1" applyBorder="1" applyAlignment="1">
      <alignment vertical="center"/>
    </xf>
    <xf numFmtId="0" fontId="0" fillId="0" borderId="15" xfId="0" applyFont="1" applyFill="1" applyBorder="1" applyAlignment="1">
      <alignment vertical="center"/>
    </xf>
    <xf numFmtId="0" fontId="0" fillId="0" borderId="58" xfId="0" applyFont="1" applyFill="1" applyBorder="1"/>
    <xf numFmtId="0" fontId="0" fillId="0" borderId="59" xfId="0" applyFont="1" applyFill="1" applyBorder="1"/>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71"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0"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10">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C51BBE2-A4FD-A252-9F9D-5C54EA1E5F8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AF1E1E1-9130-0CFE-A10C-AC5EF007996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C5F29C8-8FB8-0C10-AAFE-576ACE46D65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B9C5AF1-72F6-78CD-6765-8E53CBE1827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D1785433-FA6B-F49E-1A56-49B688398BD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B615AB-B73C-6CE3-6E8F-ECA0FE877E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FEBA3CB-8151-A04C-3C26-58947723EE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77164388-21AC-04B2-7252-9DBE9DA07C6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F479C78-48AF-2285-18A6-5345F39D6057}"/>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78984C8-3543-3896-983E-CBA1CB4F86C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6B2AAF4-0D27-7097-ED65-B2279D0E1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42AC850-42FF-3829-6F81-E1537B9A865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D4F6ABFA-50D7-314F-EC51-442CA99E47E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B575F27-0244-7F08-DB13-4B7BABC1C4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499EF43-D3E3-D700-47E9-5FB4002C2D7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2AAF79B-25A4-C816-7E27-8045C58CBF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08317B4-1C60-E527-B1B2-E47269386D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E59E39-FBE5-4D3D-7296-534344C2DC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2310DD65-A875-2848-969F-7632186D11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FA925D99-6F69-3615-F52A-5AA095BBCE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860674-595A-0AB5-0A9E-3D331BC79A2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E748F1F-5B52-3344-B1D4-AF825D83738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560BA6D-DC56-D569-B195-63CAA183E16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59D0F0A-CCB7-EEF1-1AE6-FC30FA4F12B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F89DCA18-B8E2-8EE6-7755-7F1EE070B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9779932-4E4F-463D-BC2F-90877ED1BE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C79E902-CBCC-1D99-A279-60283456EA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B044353-3C33-1A4A-4CA7-633A318961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166A878-EF7E-42F3-3602-675A7F7D85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79331DD-4719-ABEB-3202-928DEBD5967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555433E-6D16-6CF2-D969-482FFD47E3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19BE33A-F08E-1B54-E396-1534FEB7256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E61EB20-7B58-0BF1-762D-734FC64C185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F144E5A2-0FE4-9F51-3376-567451E810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634F5D15-D9A8-33D6-BFAB-B75D763FE3E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A188E391-38C7-C903-21C9-07566D0833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43E14959-6ED1-72BB-668B-FD480629661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7E69E76-5E96-1E1D-05F1-C711FD2E280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874FB73-76DD-0715-EAF1-78E48BC1F6E5}"/>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91FCBCF-1E5A-FD69-8250-7427B0795A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31A18FF-1875-5E3D-5A03-D341CEBB0B9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41832CB-06C4-BB67-A7FC-49EBA203C7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948C30C-689C-0BDB-98E8-D154FE7C43D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25A2F39-FFF0-E594-F565-0666527DCF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316803E-2848-57AE-F949-F4A4B7FA79C1}"/>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D2F578E5-1995-AE7E-59C8-705206EEF0C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7E0C279-4B11-3FAA-99A0-980E53EFB9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B1707C1-B405-1A91-0ABB-3CCFF538F6C7}"/>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89773A45-A2CE-E404-0925-34BD18CD79C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4546" name="Rectangle 63">
          <a:extLst>
            <a:ext uri="{FF2B5EF4-FFF2-40B4-BE49-F238E27FC236}">
              <a16:creationId xmlns:a16="http://schemas.microsoft.com/office/drawing/2014/main" id="{4117E19D-0DAE-64CE-7480-9EA60814BECF}"/>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86D576F-B6FB-199B-B989-AF7D748A231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33044C43-9A32-60D2-BC64-D4F4DD075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EA6EA32-7AC9-8D4A-EBBC-7ECA7B91755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37051180-00D9-64C3-B7D9-1086B4D7817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65EF81B1-95DA-95CC-C4DD-4B7308E79D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08EA18F-39BF-6D35-A899-7CE5C5E324F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18A20E8-7718-E33E-19D7-D982BFA75FB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B9D62651-46A0-3C72-5A2D-8214866894E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2A64513-E4B9-8AB5-45C7-6403E940388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C0F31A9-4E4D-D2A9-DE6A-892F2E0319E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B959D91-94B7-B26C-2605-BC0B2C331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1A5418-09B7-B405-F8E4-04C2CD7B2A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2D17885-8B31-134A-CD08-DB34DECA127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B204AC5-C3C1-9777-459B-4ADD630873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6C6567-3821-2CAB-8F0A-6B9CF551DC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A44C5E-DE2E-490D-36B2-E63D60228FD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E6623157-C16E-F007-BB8F-0DCB567B21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700B1CF-21E5-83E2-27C9-5F5D96217D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847CF36-0EE8-1085-B7DE-E3669BDBB7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399A44-AB4E-10E9-51D4-560633E34FD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E7AC0A3F-D220-5579-DB30-84C953350FA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9371E7C-1D29-1EDE-15FF-00464C76133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E49D61A4-CE17-BC4F-B80F-85DFBE5C3C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C143B78-AF06-23DD-578D-D6E9011FFB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58A6891E-AE1E-2F31-10CB-F9C7322834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F56248C-1B41-58BA-2933-D6E82D78A68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DE319007-2212-8950-12E6-3CFEBE4CDD8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128C3746-8291-4EC8-5AA4-6C45AF6810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5ADD9CA-4DE4-F9A0-DCB9-661D631309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A6816BF7-995D-CC1F-3DC3-220FACC3EB5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AB85335-27D0-D6D9-4EC3-0A2E1C88842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FAFB9850-25D2-9A01-576D-D4DAB7A6F6E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8CF53E3-FF46-5762-EECF-BB95129F065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9C4A811-F515-4D0C-38C6-57F96065A8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27E3DB30-88E7-BE63-B9D8-925C396E952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1BD28E8-C7B7-E04E-A3FA-E5F6DA3C6E6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5AEF55-52DB-43AF-D32B-0C6231AAC33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04A47FC-B80C-049A-CE50-77567E1BE26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BDFF5397-DD5B-45BD-EADF-0E612764A30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E1771F9-F9B7-B0A8-BD98-0A0BE87795A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229E6EF-F1BA-9F15-6A5B-DE5C5DD68754}"/>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AE8A3A0-3CFB-5C4F-3824-3ED66D0FC41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D1D65CB-9EF0-B4DB-E3CC-66D0658E6D95}"/>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81513E7-E9EF-885C-D698-0CE5282FBB2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5A145A6-2850-DBF8-84A1-2212232521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ECBAA5B3-4625-42DF-0ECD-1281EC9C402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428ECEB-B9D3-5EBC-B5E4-113273354FA0}"/>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3A3BBB98-A670-7045-434B-69B35354E27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E48C3660-54B8-0C75-7B51-364587BA896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4596" name="Rectangle 63">
          <a:extLst>
            <a:ext uri="{FF2B5EF4-FFF2-40B4-BE49-F238E27FC236}">
              <a16:creationId xmlns:a16="http://schemas.microsoft.com/office/drawing/2014/main" id="{8AE77476-A9B3-E437-AC60-6E68E66F9954}"/>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609"/>
  <sheetViews>
    <sheetView tabSelected="1" view="pageBreakPreview" zoomScale="70" zoomScaleNormal="75" zoomScaleSheetLayoutView="70" workbookViewId="0"/>
  </sheetViews>
  <sheetFormatPr defaultRowHeight="13.5" x14ac:dyDescent="0.15"/>
  <cols>
    <col min="1" max="2" width="4.25" style="102"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375" style="103" customWidth="1"/>
    <col min="25" max="32" width="4.875" style="103" customWidth="1"/>
    <col min="33" max="38" width="0" style="119" hidden="1" customWidth="1"/>
    <col min="39" max="16384" width="9" style="103"/>
  </cols>
  <sheetData>
    <row r="2" spans="1:38" ht="20.25" customHeight="1" x14ac:dyDescent="0.15">
      <c r="A2" s="117" t="s">
        <v>557</v>
      </c>
      <c r="B2" s="118"/>
    </row>
    <row r="3" spans="1:38" ht="21" customHeight="1" x14ac:dyDescent="0.15">
      <c r="A3" s="317" t="s">
        <v>27</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8" ht="20.25" customHeight="1" x14ac:dyDescent="0.15"/>
    <row r="5" spans="1:38" ht="27" customHeight="1" x14ac:dyDescent="0.15">
      <c r="I5" s="321" t="s">
        <v>560</v>
      </c>
      <c r="J5" s="321"/>
      <c r="K5" s="321"/>
      <c r="L5" s="321"/>
      <c r="M5" s="321"/>
      <c r="N5" s="321"/>
      <c r="O5" s="321"/>
      <c r="P5" s="321"/>
      <c r="Q5" s="321"/>
      <c r="R5" s="321"/>
      <c r="S5" s="321"/>
      <c r="T5" s="321"/>
      <c r="U5" s="321"/>
      <c r="V5" s="321"/>
      <c r="W5" s="321"/>
      <c r="X5" s="319" t="s">
        <v>84</v>
      </c>
      <c r="Y5" s="319"/>
      <c r="Z5" s="320"/>
      <c r="AA5" s="322" t="s">
        <v>561</v>
      </c>
      <c r="AB5" s="323"/>
      <c r="AC5" s="323"/>
      <c r="AD5" s="323"/>
      <c r="AE5" s="323"/>
      <c r="AF5" s="324"/>
      <c r="AG5" s="103"/>
      <c r="AH5" s="103"/>
      <c r="AI5" s="103"/>
      <c r="AJ5" s="103"/>
      <c r="AK5" s="103"/>
      <c r="AL5" s="103"/>
    </row>
    <row r="6" spans="1:38" ht="27.75" customHeight="1" x14ac:dyDescent="0.15">
      <c r="I6" s="321" t="s">
        <v>21</v>
      </c>
      <c r="J6" s="321"/>
      <c r="K6" s="321"/>
      <c r="L6" s="321"/>
      <c r="M6" s="321"/>
      <c r="N6" s="325" t="s">
        <v>562</v>
      </c>
      <c r="O6" s="325"/>
      <c r="P6" s="325"/>
      <c r="Q6" s="325"/>
      <c r="R6" s="325"/>
      <c r="S6" s="325"/>
      <c r="T6" s="325"/>
      <c r="U6" s="325"/>
      <c r="V6" s="325"/>
      <c r="W6" s="325"/>
      <c r="X6" s="321" t="s">
        <v>563</v>
      </c>
      <c r="Y6" s="321"/>
      <c r="Z6" s="321"/>
      <c r="AA6" s="120"/>
      <c r="AB6" s="121" t="s">
        <v>36</v>
      </c>
      <c r="AC6" s="121"/>
      <c r="AD6" s="121" t="s">
        <v>553</v>
      </c>
      <c r="AE6" s="121"/>
      <c r="AF6" s="122" t="s">
        <v>554</v>
      </c>
      <c r="AG6" s="103"/>
      <c r="AH6" s="103"/>
      <c r="AI6" s="103"/>
      <c r="AJ6" s="103"/>
      <c r="AK6" s="103"/>
      <c r="AL6" s="103"/>
    </row>
    <row r="7" spans="1:38" ht="20.25" customHeight="1" x14ac:dyDescent="0.15"/>
    <row r="8" spans="1:38" ht="17.25" customHeight="1" x14ac:dyDescent="0.15">
      <c r="A8" s="318" t="s">
        <v>184</v>
      </c>
      <c r="B8" s="319"/>
      <c r="C8" s="320"/>
      <c r="D8" s="318" t="s">
        <v>1</v>
      </c>
      <c r="E8" s="320"/>
      <c r="F8" s="318" t="s">
        <v>86</v>
      </c>
      <c r="G8" s="320"/>
      <c r="H8" s="318" t="s">
        <v>160</v>
      </c>
      <c r="I8" s="319"/>
      <c r="J8" s="319"/>
      <c r="K8" s="319"/>
      <c r="L8" s="319"/>
      <c r="M8" s="319"/>
      <c r="N8" s="319"/>
      <c r="O8" s="319"/>
      <c r="P8" s="319"/>
      <c r="Q8" s="319"/>
      <c r="R8" s="319"/>
      <c r="S8" s="319"/>
      <c r="T8" s="319"/>
      <c r="U8" s="319"/>
      <c r="V8" s="319"/>
      <c r="W8" s="319"/>
      <c r="X8" s="320"/>
      <c r="Y8" s="318" t="s">
        <v>195</v>
      </c>
      <c r="Z8" s="319"/>
      <c r="AA8" s="319"/>
      <c r="AB8" s="320"/>
      <c r="AC8" s="318" t="s">
        <v>87</v>
      </c>
      <c r="AD8" s="319"/>
      <c r="AE8" s="319"/>
      <c r="AF8" s="320"/>
    </row>
    <row r="9" spans="1:38" ht="18.75" customHeight="1" x14ac:dyDescent="0.15">
      <c r="A9" s="334" t="s">
        <v>88</v>
      </c>
      <c r="B9" s="335"/>
      <c r="C9" s="336"/>
      <c r="D9" s="334"/>
      <c r="E9" s="336"/>
      <c r="F9" s="334"/>
      <c r="G9" s="336"/>
      <c r="H9" s="340" t="s">
        <v>89</v>
      </c>
      <c r="I9" s="123" t="s">
        <v>348</v>
      </c>
      <c r="J9" s="124" t="s">
        <v>204</v>
      </c>
      <c r="K9" s="125"/>
      <c r="L9" s="125"/>
      <c r="M9" s="123" t="s">
        <v>348</v>
      </c>
      <c r="N9" s="124" t="s">
        <v>205</v>
      </c>
      <c r="O9" s="125"/>
      <c r="P9" s="125"/>
      <c r="Q9" s="123" t="s">
        <v>348</v>
      </c>
      <c r="R9" s="124" t="s">
        <v>206</v>
      </c>
      <c r="S9" s="125"/>
      <c r="T9" s="125"/>
      <c r="U9" s="123" t="s">
        <v>348</v>
      </c>
      <c r="V9" s="124" t="s">
        <v>207</v>
      </c>
      <c r="W9" s="125"/>
      <c r="X9" s="126"/>
      <c r="Y9" s="311"/>
      <c r="Z9" s="312"/>
      <c r="AA9" s="312"/>
      <c r="AB9" s="313"/>
      <c r="AC9" s="311"/>
      <c r="AD9" s="312"/>
      <c r="AE9" s="312"/>
      <c r="AF9" s="313"/>
      <c r="AG9" s="119" t="str">
        <f>"tiikikbn_code:"&amp; IF(I9="■",1,IF(M9="■",6,IF(Q9="■",7,IF(U9="■",2,IF(I10="■",3,IF(M10="■",4,IF(Q10="■",9,IF(U10="■",5,0))))))))</f>
        <v>tiikikbn_code:0</v>
      </c>
    </row>
    <row r="10" spans="1:38" ht="18.75" customHeight="1" x14ac:dyDescent="0.15">
      <c r="A10" s="337"/>
      <c r="B10" s="338"/>
      <c r="C10" s="339"/>
      <c r="D10" s="337"/>
      <c r="E10" s="339"/>
      <c r="F10" s="337"/>
      <c r="G10" s="339"/>
      <c r="H10" s="341"/>
      <c r="I10" s="128" t="s">
        <v>348</v>
      </c>
      <c r="J10" s="104" t="s">
        <v>208</v>
      </c>
      <c r="K10" s="129"/>
      <c r="L10" s="129"/>
      <c r="M10" s="123" t="s">
        <v>348</v>
      </c>
      <c r="N10" s="104" t="s">
        <v>209</v>
      </c>
      <c r="O10" s="129"/>
      <c r="P10" s="129"/>
      <c r="Q10" s="123" t="s">
        <v>348</v>
      </c>
      <c r="R10" s="104" t="s">
        <v>210</v>
      </c>
      <c r="S10" s="129"/>
      <c r="T10" s="129"/>
      <c r="U10" s="123" t="s">
        <v>348</v>
      </c>
      <c r="V10" s="104" t="s">
        <v>211</v>
      </c>
      <c r="W10" s="129"/>
      <c r="X10" s="111"/>
      <c r="Y10" s="314"/>
      <c r="Z10" s="315"/>
      <c r="AA10" s="315"/>
      <c r="AB10" s="316"/>
      <c r="AC10" s="314"/>
      <c r="AD10" s="315"/>
      <c r="AE10" s="315"/>
      <c r="AF10" s="316"/>
    </row>
    <row r="11" spans="1:38" ht="18.75" customHeight="1" x14ac:dyDescent="0.15">
      <c r="A11" s="130"/>
      <c r="B11" s="131"/>
      <c r="C11" s="132"/>
      <c r="D11" s="133"/>
      <c r="E11" s="126"/>
      <c r="F11" s="134"/>
      <c r="G11" s="135"/>
      <c r="H11" s="326" t="s">
        <v>124</v>
      </c>
      <c r="I11" s="136" t="s">
        <v>348</v>
      </c>
      <c r="J11" s="124" t="s">
        <v>214</v>
      </c>
      <c r="K11" s="137"/>
      <c r="L11" s="137"/>
      <c r="M11" s="137"/>
      <c r="N11" s="137"/>
      <c r="O11" s="137"/>
      <c r="P11" s="137"/>
      <c r="Q11" s="137"/>
      <c r="R11" s="137"/>
      <c r="S11" s="137"/>
      <c r="T11" s="137"/>
      <c r="U11" s="137"/>
      <c r="V11" s="137"/>
      <c r="W11" s="137"/>
      <c r="X11" s="138"/>
      <c r="Y11" s="136" t="s">
        <v>348</v>
      </c>
      <c r="Z11" s="124" t="s">
        <v>215</v>
      </c>
      <c r="AA11" s="124"/>
      <c r="AB11" s="139"/>
      <c r="AC11" s="140" t="s">
        <v>348</v>
      </c>
      <c r="AD11" s="124" t="s">
        <v>215</v>
      </c>
      <c r="AE11" s="124"/>
      <c r="AF11" s="139"/>
      <c r="AG11" s="119" t="str">
        <f>"ser_code = '" &amp; IF(A23="■",11,"") &amp; "'"</f>
        <v>ser_code = ''</v>
      </c>
      <c r="AI11" s="119" t="str">
        <f>"11:sintaikaigo_taisei_code:" &amp; IF(Y11="■",1,IF(Y12="■",2,IF(I13="■",3,0)))</f>
        <v>11:sintaikaigo_taisei_code:0</v>
      </c>
      <c r="AJ11" s="119" t="str">
        <f>"11:field203:" &amp; IF(Y11="■",1,IF(Y12="■",2,0))</f>
        <v>11:field203:0</v>
      </c>
      <c r="AK11" s="119" t="str">
        <f>"11:waribiki_code:" &amp; IF(AC11="■",1,IF(AC12="■",2,0))</f>
        <v>11:waribiki_code:0</v>
      </c>
    </row>
    <row r="12" spans="1:38" ht="18.75" customHeight="1" x14ac:dyDescent="0.15">
      <c r="A12" s="107"/>
      <c r="B12" s="108"/>
      <c r="C12" s="109"/>
      <c r="D12" s="110"/>
      <c r="E12" s="111"/>
      <c r="F12" s="112"/>
      <c r="G12" s="113"/>
      <c r="H12" s="327"/>
      <c r="I12" s="123" t="s">
        <v>348</v>
      </c>
      <c r="J12" s="103" t="s">
        <v>212</v>
      </c>
      <c r="K12" s="141"/>
      <c r="L12" s="141"/>
      <c r="M12" s="141"/>
      <c r="N12" s="141"/>
      <c r="O12" s="141"/>
      <c r="P12" s="141"/>
      <c r="Q12" s="141"/>
      <c r="R12" s="141"/>
      <c r="S12" s="141"/>
      <c r="T12" s="141"/>
      <c r="U12" s="141"/>
      <c r="V12" s="141"/>
      <c r="W12" s="141"/>
      <c r="X12" s="142"/>
      <c r="Y12" s="123" t="s">
        <v>348</v>
      </c>
      <c r="Z12" s="104" t="s">
        <v>221</v>
      </c>
      <c r="AA12" s="105"/>
      <c r="AB12" s="106"/>
      <c r="AC12" s="128" t="s">
        <v>348</v>
      </c>
      <c r="AD12" s="104" t="s">
        <v>221</v>
      </c>
      <c r="AE12" s="105"/>
      <c r="AF12" s="106"/>
      <c r="AG12" s="119" t="str">
        <f>"11:sisetukbn_code:" &amp; IF(AND(D22="■",D23="■",D24="■"),"1;2;3",IF(AND(D22="■",D23="■"),"1;2",0))</f>
        <v>11:sisetukbn_code:0</v>
      </c>
    </row>
    <row r="13" spans="1:38" ht="18.75" customHeight="1" x14ac:dyDescent="0.15">
      <c r="A13" s="107"/>
      <c r="B13" s="108"/>
      <c r="C13" s="109"/>
      <c r="D13" s="110"/>
      <c r="E13" s="111"/>
      <c r="F13" s="112"/>
      <c r="G13" s="113"/>
      <c r="H13" s="328"/>
      <c r="I13" s="143" t="s">
        <v>348</v>
      </c>
      <c r="J13" s="144" t="s">
        <v>213</v>
      </c>
      <c r="K13" s="145"/>
      <c r="L13" s="145"/>
      <c r="M13" s="145"/>
      <c r="N13" s="145"/>
      <c r="O13" s="145"/>
      <c r="P13" s="145"/>
      <c r="Q13" s="145"/>
      <c r="R13" s="145"/>
      <c r="S13" s="145"/>
      <c r="T13" s="145"/>
      <c r="U13" s="145"/>
      <c r="V13" s="145"/>
      <c r="W13" s="145"/>
      <c r="X13" s="146"/>
      <c r="Y13" s="147"/>
      <c r="Z13" s="105"/>
      <c r="AA13" s="105"/>
      <c r="AB13" s="106"/>
      <c r="AC13" s="147"/>
      <c r="AD13" s="105"/>
      <c r="AE13" s="105"/>
      <c r="AF13" s="106"/>
    </row>
    <row r="14" spans="1:38" s="119" customFormat="1" ht="19.5" customHeight="1" x14ac:dyDescent="0.15">
      <c r="A14" s="107"/>
      <c r="B14" s="108"/>
      <c r="C14" s="109"/>
      <c r="D14" s="110"/>
      <c r="E14" s="111"/>
      <c r="F14" s="112"/>
      <c r="G14" s="113"/>
      <c r="H14" s="114" t="s">
        <v>369</v>
      </c>
      <c r="I14" s="148" t="s">
        <v>348</v>
      </c>
      <c r="J14" s="149" t="s">
        <v>360</v>
      </c>
      <c r="K14" s="150"/>
      <c r="L14" s="151"/>
      <c r="M14" s="152" t="s">
        <v>348</v>
      </c>
      <c r="N14" s="149" t="s">
        <v>370</v>
      </c>
      <c r="O14" s="153"/>
      <c r="P14" s="149"/>
      <c r="Q14" s="154"/>
      <c r="R14" s="154"/>
      <c r="S14" s="154"/>
      <c r="T14" s="154"/>
      <c r="U14" s="154"/>
      <c r="V14" s="154"/>
      <c r="W14" s="154"/>
      <c r="X14" s="155"/>
      <c r="Y14" s="105"/>
      <c r="Z14" s="105"/>
      <c r="AA14" s="105"/>
      <c r="AB14" s="106"/>
      <c r="AC14" s="147"/>
      <c r="AD14" s="105"/>
      <c r="AE14" s="105"/>
      <c r="AF14" s="106"/>
      <c r="AI14" s="119" t="str">
        <f>"11:field223:" &amp; IF(I14="■",1,IF(M14="■",2,0))</f>
        <v>11:field223:0</v>
      </c>
    </row>
    <row r="15" spans="1:38" s="119" customFormat="1" ht="19.5" customHeight="1" x14ac:dyDescent="0.15">
      <c r="A15" s="107"/>
      <c r="B15" s="108"/>
      <c r="C15" s="109"/>
      <c r="D15" s="110"/>
      <c r="E15" s="111"/>
      <c r="F15" s="112"/>
      <c r="G15" s="113"/>
      <c r="H15" s="114" t="s">
        <v>390</v>
      </c>
      <c r="I15" s="148" t="s">
        <v>348</v>
      </c>
      <c r="J15" s="149" t="s">
        <v>360</v>
      </c>
      <c r="K15" s="150"/>
      <c r="L15" s="151"/>
      <c r="M15" s="152" t="s">
        <v>348</v>
      </c>
      <c r="N15" s="149" t="s">
        <v>370</v>
      </c>
      <c r="O15" s="153"/>
      <c r="P15" s="149"/>
      <c r="Q15" s="154"/>
      <c r="R15" s="154"/>
      <c r="S15" s="154"/>
      <c r="T15" s="154"/>
      <c r="U15" s="154"/>
      <c r="V15" s="154"/>
      <c r="W15" s="154"/>
      <c r="X15" s="155"/>
      <c r="Y15" s="105"/>
      <c r="Z15" s="105"/>
      <c r="AA15" s="105"/>
      <c r="AB15" s="106"/>
      <c r="AC15" s="156"/>
      <c r="AD15" s="104"/>
      <c r="AE15" s="105"/>
      <c r="AF15" s="106"/>
      <c r="AI15" s="119" t="str">
        <f>"11:field232:" &amp; IF(I15="■",1,IF(M15="■",2,0))</f>
        <v>11:field232:0</v>
      </c>
    </row>
    <row r="16" spans="1:38" s="119" customFormat="1" ht="18.75" customHeight="1" x14ac:dyDescent="0.15">
      <c r="A16" s="107"/>
      <c r="B16" s="108"/>
      <c r="C16" s="109"/>
      <c r="D16" s="110"/>
      <c r="E16" s="111"/>
      <c r="F16" s="112"/>
      <c r="G16" s="113"/>
      <c r="H16" s="157" t="s">
        <v>196</v>
      </c>
      <c r="I16" s="148" t="s">
        <v>348</v>
      </c>
      <c r="J16" s="149" t="s">
        <v>216</v>
      </c>
      <c r="K16" s="149"/>
      <c r="L16" s="152" t="s">
        <v>348</v>
      </c>
      <c r="M16" s="149" t="s">
        <v>217</v>
      </c>
      <c r="N16" s="149"/>
      <c r="O16" s="152" t="s">
        <v>348</v>
      </c>
      <c r="P16" s="149" t="s">
        <v>218</v>
      </c>
      <c r="Q16" s="149"/>
      <c r="R16" s="152" t="s">
        <v>348</v>
      </c>
      <c r="S16" s="149" t="s">
        <v>219</v>
      </c>
      <c r="T16" s="149"/>
      <c r="U16" s="152" t="s">
        <v>348</v>
      </c>
      <c r="V16" s="149" t="s">
        <v>220</v>
      </c>
      <c r="W16" s="149"/>
      <c r="X16" s="158"/>
      <c r="Y16" s="147"/>
      <c r="Z16" s="105"/>
      <c r="AA16" s="105"/>
      <c r="AB16" s="106"/>
      <c r="AC16" s="147"/>
      <c r="AD16" s="105"/>
      <c r="AE16" s="105"/>
      <c r="AF16" s="106"/>
      <c r="AI16" s="119" t="str">
        <f>"11:tokujigyou_code:" &amp; IF(I16="■",1,IF(L16="■",2,IF(O16="■",3,IF(R16="■",4,IF(U16="■",5,0)))))</f>
        <v>11:tokujigyou_code:0</v>
      </c>
    </row>
    <row r="17" spans="1:35" s="119" customFormat="1" ht="18.75" customHeight="1" x14ac:dyDescent="0.15">
      <c r="A17" s="107"/>
      <c r="B17" s="108"/>
      <c r="C17" s="109"/>
      <c r="D17" s="110"/>
      <c r="E17" s="111"/>
      <c r="F17" s="112"/>
      <c r="G17" s="113"/>
      <c r="H17" s="157" t="s">
        <v>183</v>
      </c>
      <c r="I17" s="148" t="s">
        <v>348</v>
      </c>
      <c r="J17" s="149" t="s">
        <v>216</v>
      </c>
      <c r="K17" s="150"/>
      <c r="L17" s="152" t="s">
        <v>348</v>
      </c>
      <c r="M17" s="149" t="s">
        <v>232</v>
      </c>
      <c r="N17" s="150"/>
      <c r="O17" s="150"/>
      <c r="P17" s="150"/>
      <c r="Q17" s="150"/>
      <c r="R17" s="150"/>
      <c r="S17" s="150"/>
      <c r="T17" s="150"/>
      <c r="U17" s="150"/>
      <c r="V17" s="150"/>
      <c r="W17" s="150"/>
      <c r="X17" s="159"/>
      <c r="Y17" s="147"/>
      <c r="Z17" s="105"/>
      <c r="AA17" s="105"/>
      <c r="AB17" s="106"/>
      <c r="AC17" s="147"/>
      <c r="AD17" s="105"/>
      <c r="AE17" s="105"/>
      <c r="AF17" s="106"/>
      <c r="AI17" s="119" t="str">
        <f>"11:field220:" &amp; IF(I17="■",1,IF(L17="■",2,0))</f>
        <v>11:field220:0</v>
      </c>
    </row>
    <row r="18" spans="1:35" s="119" customFormat="1" ht="18.75" customHeight="1" x14ac:dyDescent="0.15">
      <c r="A18" s="107"/>
      <c r="B18" s="108"/>
      <c r="C18" s="109"/>
      <c r="D18" s="110"/>
      <c r="E18" s="111"/>
      <c r="F18" s="112"/>
      <c r="G18" s="113"/>
      <c r="H18" s="329" t="s">
        <v>142</v>
      </c>
      <c r="I18" s="330" t="s">
        <v>348</v>
      </c>
      <c r="J18" s="332" t="s">
        <v>216</v>
      </c>
      <c r="K18" s="332"/>
      <c r="L18" s="330" t="s">
        <v>348</v>
      </c>
      <c r="M18" s="332" t="s">
        <v>232</v>
      </c>
      <c r="N18" s="332"/>
      <c r="O18" s="104"/>
      <c r="P18" s="104"/>
      <c r="Q18" s="104"/>
      <c r="R18" s="104"/>
      <c r="S18" s="160"/>
      <c r="T18" s="104"/>
      <c r="U18" s="104"/>
      <c r="V18" s="160"/>
      <c r="W18" s="104"/>
      <c r="X18" s="113"/>
      <c r="Y18" s="147"/>
      <c r="Z18" s="105"/>
      <c r="AA18" s="105"/>
      <c r="AB18" s="106"/>
      <c r="AC18" s="147"/>
      <c r="AD18" s="105"/>
      <c r="AE18" s="105"/>
      <c r="AF18" s="106"/>
      <c r="AI18" s="119" t="str">
        <f>"11:field179:" &amp; IF(I18="■",1,IF(L18="■",2,0))</f>
        <v>11:field179:0</v>
      </c>
    </row>
    <row r="19" spans="1:35" s="119" customFormat="1" ht="18.75" customHeight="1" x14ac:dyDescent="0.15">
      <c r="A19" s="107"/>
      <c r="B19" s="108"/>
      <c r="C19" s="109"/>
      <c r="D19" s="110"/>
      <c r="E19" s="111"/>
      <c r="F19" s="112"/>
      <c r="G19" s="113"/>
      <c r="H19" s="328"/>
      <c r="I19" s="331"/>
      <c r="J19" s="333"/>
      <c r="K19" s="333"/>
      <c r="L19" s="331"/>
      <c r="M19" s="333"/>
      <c r="N19" s="333"/>
      <c r="O19" s="115"/>
      <c r="P19" s="115"/>
      <c r="Q19" s="115"/>
      <c r="R19" s="115"/>
      <c r="S19" s="115"/>
      <c r="T19" s="115"/>
      <c r="U19" s="115"/>
      <c r="V19" s="115"/>
      <c r="W19" s="115"/>
      <c r="X19" s="161"/>
      <c r="Y19" s="147"/>
      <c r="Z19" s="105"/>
      <c r="AA19" s="105"/>
      <c r="AB19" s="106"/>
      <c r="AC19" s="147"/>
      <c r="AD19" s="105"/>
      <c r="AE19" s="105"/>
      <c r="AF19" s="106"/>
    </row>
    <row r="20" spans="1:35" s="119" customFormat="1" ht="18.75" customHeight="1" x14ac:dyDescent="0.15">
      <c r="A20" s="107"/>
      <c r="B20" s="108"/>
      <c r="C20" s="109"/>
      <c r="D20" s="162"/>
      <c r="E20" s="111"/>
      <c r="F20" s="112"/>
      <c r="G20" s="113"/>
      <c r="H20" s="329" t="s">
        <v>143</v>
      </c>
      <c r="I20" s="342" t="s">
        <v>348</v>
      </c>
      <c r="J20" s="343" t="s">
        <v>216</v>
      </c>
      <c r="K20" s="343"/>
      <c r="L20" s="342" t="s">
        <v>348</v>
      </c>
      <c r="M20" s="343" t="s">
        <v>232</v>
      </c>
      <c r="N20" s="343"/>
      <c r="O20" s="160"/>
      <c r="P20" s="160"/>
      <c r="Q20" s="160"/>
      <c r="R20" s="160"/>
      <c r="S20" s="160"/>
      <c r="T20" s="160"/>
      <c r="U20" s="160"/>
      <c r="V20" s="160"/>
      <c r="W20" s="160"/>
      <c r="X20" s="163"/>
      <c r="Y20" s="147"/>
      <c r="Z20" s="105"/>
      <c r="AA20" s="105"/>
      <c r="AB20" s="106"/>
      <c r="AC20" s="147"/>
      <c r="AD20" s="105"/>
      <c r="AE20" s="105"/>
      <c r="AF20" s="106"/>
      <c r="AI20" s="119" t="str">
        <f>"11:field180:" &amp; IF(I20="■",1,IF(L20="■",2,0))</f>
        <v>11:field180:0</v>
      </c>
    </row>
    <row r="21" spans="1:35" s="119" customFormat="1" ht="18.75" customHeight="1" x14ac:dyDescent="0.15">
      <c r="A21" s="107"/>
      <c r="B21" s="108"/>
      <c r="C21" s="109"/>
      <c r="D21" s="162"/>
      <c r="E21" s="111"/>
      <c r="F21" s="112"/>
      <c r="G21" s="113"/>
      <c r="H21" s="328"/>
      <c r="I21" s="331"/>
      <c r="J21" s="333"/>
      <c r="K21" s="333"/>
      <c r="L21" s="331"/>
      <c r="M21" s="333"/>
      <c r="N21" s="333"/>
      <c r="O21" s="115"/>
      <c r="P21" s="115"/>
      <c r="Q21" s="115"/>
      <c r="R21" s="115"/>
      <c r="S21" s="115"/>
      <c r="T21" s="115"/>
      <c r="U21" s="115"/>
      <c r="V21" s="115"/>
      <c r="W21" s="115"/>
      <c r="X21" s="161"/>
      <c r="Y21" s="147"/>
      <c r="Z21" s="105"/>
      <c r="AA21" s="105"/>
      <c r="AB21" s="106"/>
      <c r="AC21" s="147"/>
      <c r="AD21" s="105"/>
      <c r="AE21" s="105"/>
      <c r="AF21" s="106"/>
    </row>
    <row r="22" spans="1:35" s="119" customFormat="1" ht="18.75" customHeight="1" x14ac:dyDescent="0.15">
      <c r="A22" s="164"/>
      <c r="B22" s="108"/>
      <c r="C22" s="109"/>
      <c r="D22" s="123" t="s">
        <v>348</v>
      </c>
      <c r="E22" s="111" t="s">
        <v>227</v>
      </c>
      <c r="F22" s="112"/>
      <c r="G22" s="113"/>
      <c r="H22" s="329" t="s">
        <v>392</v>
      </c>
      <c r="I22" s="344" t="s">
        <v>348</v>
      </c>
      <c r="J22" s="343" t="s">
        <v>222</v>
      </c>
      <c r="K22" s="343"/>
      <c r="L22" s="343"/>
      <c r="M22" s="342" t="s">
        <v>348</v>
      </c>
      <c r="N22" s="343" t="s">
        <v>223</v>
      </c>
      <c r="O22" s="343"/>
      <c r="P22" s="343"/>
      <c r="Q22" s="346"/>
      <c r="R22" s="346"/>
      <c r="S22" s="346"/>
      <c r="T22" s="346"/>
      <c r="U22" s="346"/>
      <c r="V22" s="346"/>
      <c r="W22" s="346"/>
      <c r="X22" s="346"/>
      <c r="Y22" s="147"/>
      <c r="Z22" s="105"/>
      <c r="AA22" s="105"/>
      <c r="AB22" s="106"/>
      <c r="AC22" s="147"/>
      <c r="AD22" s="105"/>
      <c r="AE22" s="105"/>
      <c r="AF22" s="106"/>
      <c r="AI22" s="119" t="str">
        <f>"11:field233:" &amp; IF(I22="■",1,IF(M22="■",2,0))</f>
        <v>11:field233:0</v>
      </c>
    </row>
    <row r="23" spans="1:35" s="119" customFormat="1" ht="19.5" customHeight="1" x14ac:dyDescent="0.15">
      <c r="A23" s="128" t="s">
        <v>348</v>
      </c>
      <c r="B23" s="108">
        <v>11</v>
      </c>
      <c r="C23" s="109" t="s">
        <v>2</v>
      </c>
      <c r="D23" s="123" t="s">
        <v>348</v>
      </c>
      <c r="E23" s="111" t="s">
        <v>226</v>
      </c>
      <c r="F23" s="112"/>
      <c r="G23" s="113"/>
      <c r="H23" s="328"/>
      <c r="I23" s="345"/>
      <c r="J23" s="333"/>
      <c r="K23" s="333"/>
      <c r="L23" s="333"/>
      <c r="M23" s="331"/>
      <c r="N23" s="333"/>
      <c r="O23" s="333"/>
      <c r="P23" s="333"/>
      <c r="Q23" s="347"/>
      <c r="R23" s="347"/>
      <c r="S23" s="347"/>
      <c r="T23" s="347"/>
      <c r="U23" s="347"/>
      <c r="V23" s="347"/>
      <c r="W23" s="347"/>
      <c r="X23" s="347"/>
      <c r="Y23" s="147"/>
      <c r="Z23" s="105"/>
      <c r="AA23" s="105"/>
      <c r="AB23" s="106"/>
      <c r="AC23" s="147"/>
      <c r="AD23" s="105"/>
      <c r="AE23" s="105"/>
      <c r="AF23" s="106"/>
    </row>
    <row r="24" spans="1:35" s="119" customFormat="1" ht="19.5" customHeight="1" x14ac:dyDescent="0.15">
      <c r="A24" s="107"/>
      <c r="B24" s="108"/>
      <c r="C24" s="109"/>
      <c r="D24" s="123" t="s">
        <v>348</v>
      </c>
      <c r="E24" s="111" t="s">
        <v>371</v>
      </c>
      <c r="F24" s="112"/>
      <c r="G24" s="113"/>
      <c r="H24" s="329" t="s">
        <v>393</v>
      </c>
      <c r="I24" s="344" t="s">
        <v>348</v>
      </c>
      <c r="J24" s="343" t="s">
        <v>222</v>
      </c>
      <c r="K24" s="343"/>
      <c r="L24" s="343"/>
      <c r="M24" s="342" t="s">
        <v>348</v>
      </c>
      <c r="N24" s="343" t="s">
        <v>223</v>
      </c>
      <c r="O24" s="343"/>
      <c r="P24" s="343"/>
      <c r="Q24" s="346"/>
      <c r="R24" s="346"/>
      <c r="S24" s="346"/>
      <c r="T24" s="346"/>
      <c r="U24" s="346"/>
      <c r="V24" s="346"/>
      <c r="W24" s="346"/>
      <c r="X24" s="346"/>
      <c r="Y24" s="147"/>
      <c r="Z24" s="105"/>
      <c r="AA24" s="105"/>
      <c r="AB24" s="106"/>
      <c r="AC24" s="147"/>
      <c r="AD24" s="105"/>
      <c r="AE24" s="105"/>
      <c r="AF24" s="106"/>
      <c r="AI24" s="119" t="str">
        <f>"11:field234:" &amp; IF(I24="■",1,IF(M24="■",2,0))</f>
        <v>11:field234:0</v>
      </c>
    </row>
    <row r="25" spans="1:35" s="119" customFormat="1" ht="19.5" customHeight="1" x14ac:dyDescent="0.15">
      <c r="A25" s="107"/>
      <c r="B25" s="108"/>
      <c r="C25" s="109"/>
      <c r="D25" s="103"/>
      <c r="E25" s="111"/>
      <c r="F25" s="112"/>
      <c r="G25" s="113"/>
      <c r="H25" s="328"/>
      <c r="I25" s="345"/>
      <c r="J25" s="333"/>
      <c r="K25" s="333"/>
      <c r="L25" s="333"/>
      <c r="M25" s="331"/>
      <c r="N25" s="333"/>
      <c r="O25" s="333"/>
      <c r="P25" s="333"/>
      <c r="Q25" s="347"/>
      <c r="R25" s="347"/>
      <c r="S25" s="347"/>
      <c r="T25" s="347"/>
      <c r="U25" s="347"/>
      <c r="V25" s="347"/>
      <c r="W25" s="347"/>
      <c r="X25" s="347"/>
      <c r="Y25" s="147"/>
      <c r="Z25" s="105"/>
      <c r="AA25" s="105"/>
      <c r="AB25" s="106"/>
      <c r="AC25" s="147"/>
      <c r="AD25" s="105"/>
      <c r="AE25" s="105"/>
      <c r="AF25" s="106"/>
    </row>
    <row r="26" spans="1:35" s="119" customFormat="1" ht="19.5" customHeight="1" x14ac:dyDescent="0.15">
      <c r="A26" s="107"/>
      <c r="B26" s="108"/>
      <c r="C26" s="109"/>
      <c r="D26" s="103"/>
      <c r="E26" s="111"/>
      <c r="F26" s="112"/>
      <c r="G26" s="113"/>
      <c r="H26" s="329" t="s">
        <v>394</v>
      </c>
      <c r="I26" s="344" t="s">
        <v>348</v>
      </c>
      <c r="J26" s="343" t="s">
        <v>222</v>
      </c>
      <c r="K26" s="343"/>
      <c r="L26" s="343"/>
      <c r="M26" s="342" t="s">
        <v>348</v>
      </c>
      <c r="N26" s="343" t="s">
        <v>223</v>
      </c>
      <c r="O26" s="343"/>
      <c r="P26" s="343"/>
      <c r="Q26" s="346"/>
      <c r="R26" s="346"/>
      <c r="S26" s="346"/>
      <c r="T26" s="346"/>
      <c r="U26" s="346"/>
      <c r="V26" s="346"/>
      <c r="W26" s="346"/>
      <c r="X26" s="346"/>
      <c r="Y26" s="147"/>
      <c r="Z26" s="105"/>
      <c r="AA26" s="105"/>
      <c r="AB26" s="106"/>
      <c r="AC26" s="147"/>
      <c r="AD26" s="105"/>
      <c r="AE26" s="105"/>
      <c r="AF26" s="106"/>
      <c r="AI26" s="119" t="str">
        <f>"11:field235:" &amp; IF(I26="■",1,IF(M26="■",2,0))</f>
        <v>11:field235:0</v>
      </c>
    </row>
    <row r="27" spans="1:35" s="119" customFormat="1" ht="19.5" customHeight="1" x14ac:dyDescent="0.15">
      <c r="A27" s="107"/>
      <c r="B27" s="108"/>
      <c r="C27" s="109"/>
      <c r="D27" s="103"/>
      <c r="E27" s="111"/>
      <c r="F27" s="112"/>
      <c r="G27" s="113"/>
      <c r="H27" s="328"/>
      <c r="I27" s="345"/>
      <c r="J27" s="333"/>
      <c r="K27" s="333"/>
      <c r="L27" s="333"/>
      <c r="M27" s="331"/>
      <c r="N27" s="333"/>
      <c r="O27" s="333"/>
      <c r="P27" s="333"/>
      <c r="Q27" s="347"/>
      <c r="R27" s="347"/>
      <c r="S27" s="347"/>
      <c r="T27" s="347"/>
      <c r="U27" s="347"/>
      <c r="V27" s="347"/>
      <c r="W27" s="347"/>
      <c r="X27" s="347"/>
      <c r="Y27" s="147"/>
      <c r="Z27" s="105"/>
      <c r="AA27" s="105"/>
      <c r="AB27" s="106"/>
      <c r="AC27" s="147"/>
      <c r="AD27" s="105"/>
      <c r="AE27" s="105"/>
      <c r="AF27" s="106"/>
    </row>
    <row r="28" spans="1:35" s="119" customFormat="1" ht="19.5" customHeight="1" x14ac:dyDescent="0.15">
      <c r="A28" s="107"/>
      <c r="B28" s="108"/>
      <c r="C28" s="113"/>
      <c r="D28" s="103"/>
      <c r="E28" s="111"/>
      <c r="F28" s="112"/>
      <c r="G28" s="113"/>
      <c r="H28" s="157" t="s">
        <v>171</v>
      </c>
      <c r="I28" s="123" t="s">
        <v>348</v>
      </c>
      <c r="J28" s="149" t="s">
        <v>216</v>
      </c>
      <c r="K28" s="150"/>
      <c r="L28" s="123" t="s">
        <v>348</v>
      </c>
      <c r="M28" s="149" t="s">
        <v>232</v>
      </c>
      <c r="N28" s="149"/>
      <c r="O28" s="149"/>
      <c r="P28" s="149"/>
      <c r="Q28" s="149"/>
      <c r="R28" s="149"/>
      <c r="S28" s="149"/>
      <c r="T28" s="149"/>
      <c r="U28" s="149"/>
      <c r="V28" s="149"/>
      <c r="W28" s="149"/>
      <c r="X28" s="158"/>
      <c r="Y28" s="147"/>
      <c r="Z28" s="105"/>
      <c r="AA28" s="105"/>
      <c r="AB28" s="106"/>
      <c r="AC28" s="147"/>
      <c r="AD28" s="105"/>
      <c r="AE28" s="105"/>
      <c r="AF28" s="106"/>
      <c r="AI28" s="119" t="str">
        <f>"11:tokutiiki_code:" &amp; IF(I28="■",1,IF(L28="■",2,0))</f>
        <v>11:tokutiiki_code:0</v>
      </c>
    </row>
    <row r="29" spans="1:35" s="119" customFormat="1" ht="19.5" customHeight="1" x14ac:dyDescent="0.15">
      <c r="A29" s="107"/>
      <c r="B29" s="165"/>
      <c r="C29" s="165"/>
      <c r="D29" s="103"/>
      <c r="E29" s="103"/>
      <c r="F29" s="112"/>
      <c r="G29" s="113"/>
      <c r="H29" s="329" t="s">
        <v>178</v>
      </c>
      <c r="I29" s="342" t="s">
        <v>348</v>
      </c>
      <c r="J29" s="343" t="s">
        <v>222</v>
      </c>
      <c r="K29" s="343"/>
      <c r="L29" s="343"/>
      <c r="M29" s="342" t="s">
        <v>348</v>
      </c>
      <c r="N29" s="343" t="s">
        <v>223</v>
      </c>
      <c r="O29" s="343"/>
      <c r="P29" s="343"/>
      <c r="Q29" s="160"/>
      <c r="R29" s="160"/>
      <c r="S29" s="160"/>
      <c r="T29" s="160"/>
      <c r="U29" s="160"/>
      <c r="V29" s="160"/>
      <c r="W29" s="160"/>
      <c r="X29" s="163"/>
      <c r="Y29" s="147"/>
      <c r="Z29" s="105"/>
      <c r="AA29" s="105"/>
      <c r="AB29" s="106"/>
      <c r="AC29" s="147"/>
      <c r="AD29" s="105"/>
      <c r="AE29" s="105"/>
      <c r="AF29" s="106"/>
      <c r="AI29" s="119" t="str">
        <f>"11:chuusankanti_tiiki_code:" &amp; IF(I29="■",1,IF(M29="■",2,0))</f>
        <v>11:chuusankanti_tiiki_code:0</v>
      </c>
    </row>
    <row r="30" spans="1:35" s="119" customFormat="1" ht="18.75" customHeight="1" x14ac:dyDescent="0.15">
      <c r="A30" s="164"/>
      <c r="B30" s="165"/>
      <c r="C30" s="165"/>
      <c r="D30" s="103"/>
      <c r="E30" s="103"/>
      <c r="F30" s="112"/>
      <c r="G30" s="113"/>
      <c r="H30" s="328"/>
      <c r="I30" s="331"/>
      <c r="J30" s="333"/>
      <c r="K30" s="333"/>
      <c r="L30" s="333"/>
      <c r="M30" s="331"/>
      <c r="N30" s="333"/>
      <c r="O30" s="333"/>
      <c r="P30" s="333"/>
      <c r="Q30" s="166"/>
      <c r="R30" s="166"/>
      <c r="S30" s="166"/>
      <c r="T30" s="166"/>
      <c r="U30" s="166"/>
      <c r="V30" s="166"/>
      <c r="W30" s="166"/>
      <c r="X30" s="167"/>
      <c r="Y30" s="147"/>
      <c r="Z30" s="105"/>
      <c r="AA30" s="105"/>
      <c r="AB30" s="106"/>
      <c r="AC30" s="147"/>
      <c r="AD30" s="105"/>
      <c r="AE30" s="105"/>
      <c r="AF30" s="106"/>
    </row>
    <row r="31" spans="1:35" s="119" customFormat="1" ht="18.75" customHeight="1" x14ac:dyDescent="0.15">
      <c r="A31" s="107"/>
      <c r="B31" s="165"/>
      <c r="C31" s="165"/>
      <c r="D31" s="103"/>
      <c r="E31" s="103"/>
      <c r="F31" s="112"/>
      <c r="G31" s="113"/>
      <c r="H31" s="329" t="s">
        <v>179</v>
      </c>
      <c r="I31" s="342" t="s">
        <v>348</v>
      </c>
      <c r="J31" s="343" t="s">
        <v>222</v>
      </c>
      <c r="K31" s="343"/>
      <c r="L31" s="343"/>
      <c r="M31" s="342" t="s">
        <v>348</v>
      </c>
      <c r="N31" s="343" t="s">
        <v>223</v>
      </c>
      <c r="O31" s="343"/>
      <c r="P31" s="343"/>
      <c r="Q31" s="168"/>
      <c r="R31" s="168"/>
      <c r="S31" s="168"/>
      <c r="T31" s="168"/>
      <c r="U31" s="168"/>
      <c r="V31" s="168"/>
      <c r="W31" s="168"/>
      <c r="X31" s="169"/>
      <c r="Y31" s="147"/>
      <c r="Z31" s="105"/>
      <c r="AA31" s="105"/>
      <c r="AB31" s="106"/>
      <c r="AC31" s="147"/>
      <c r="AD31" s="105"/>
      <c r="AE31" s="105"/>
      <c r="AF31" s="106"/>
      <c r="AI31" s="119" t="str">
        <f>"11:chuusankanti_kibo_code:" &amp; IF(I31="■",1,IF(M31="■",2,0))</f>
        <v>11:chuusankanti_kibo_code:0</v>
      </c>
    </row>
    <row r="32" spans="1:35" s="119" customFormat="1" ht="18.75" customHeight="1" x14ac:dyDescent="0.15">
      <c r="A32" s="107"/>
      <c r="B32" s="108"/>
      <c r="C32" s="109"/>
      <c r="D32" s="110"/>
      <c r="E32" s="111"/>
      <c r="F32" s="112"/>
      <c r="G32" s="113"/>
      <c r="H32" s="328"/>
      <c r="I32" s="331"/>
      <c r="J32" s="333"/>
      <c r="K32" s="333"/>
      <c r="L32" s="333"/>
      <c r="M32" s="331"/>
      <c r="N32" s="333"/>
      <c r="O32" s="333"/>
      <c r="P32" s="333"/>
      <c r="Q32" s="166"/>
      <c r="R32" s="166"/>
      <c r="S32" s="166"/>
      <c r="T32" s="166"/>
      <c r="U32" s="166"/>
      <c r="V32" s="166"/>
      <c r="W32" s="166"/>
      <c r="X32" s="167"/>
      <c r="Y32" s="147"/>
      <c r="Z32" s="105"/>
      <c r="AA32" s="105"/>
      <c r="AB32" s="106"/>
      <c r="AC32" s="147"/>
      <c r="AD32" s="105"/>
      <c r="AE32" s="105"/>
      <c r="AF32" s="106"/>
    </row>
    <row r="33" spans="1:37" s="119" customFormat="1" ht="19.5" customHeight="1" x14ac:dyDescent="0.15">
      <c r="A33" s="107"/>
      <c r="B33" s="108"/>
      <c r="C33" s="109"/>
      <c r="D33" s="110"/>
      <c r="E33" s="111"/>
      <c r="F33" s="112"/>
      <c r="G33" s="113"/>
      <c r="H33" s="114" t="s">
        <v>372</v>
      </c>
      <c r="I33" s="148" t="s">
        <v>348</v>
      </c>
      <c r="J33" s="149" t="s">
        <v>216</v>
      </c>
      <c r="K33" s="149"/>
      <c r="L33" s="152" t="s">
        <v>348</v>
      </c>
      <c r="M33" s="149" t="s">
        <v>232</v>
      </c>
      <c r="N33" s="149"/>
      <c r="O33" s="154"/>
      <c r="P33" s="149"/>
      <c r="Q33" s="154"/>
      <c r="R33" s="154"/>
      <c r="S33" s="154"/>
      <c r="T33" s="154"/>
      <c r="U33" s="154"/>
      <c r="V33" s="154"/>
      <c r="W33" s="154"/>
      <c r="X33" s="155"/>
      <c r="Y33" s="105"/>
      <c r="Z33" s="105"/>
      <c r="AA33" s="105"/>
      <c r="AB33" s="106"/>
      <c r="AC33" s="147"/>
      <c r="AD33" s="105"/>
      <c r="AE33" s="105"/>
      <c r="AF33" s="106"/>
      <c r="AI33" s="119" t="str">
        <f>"11:field224:" &amp; IF(I33="■",1,IF(L33="■",2,0))</f>
        <v>11:field224:0</v>
      </c>
    </row>
    <row r="34" spans="1:37" s="119" customFormat="1" ht="19.5" customHeight="1" x14ac:dyDescent="0.15">
      <c r="A34" s="107"/>
      <c r="B34" s="108"/>
      <c r="C34" s="109"/>
      <c r="D34" s="110"/>
      <c r="E34" s="111"/>
      <c r="F34" s="112"/>
      <c r="G34" s="113"/>
      <c r="H34" s="114" t="s">
        <v>109</v>
      </c>
      <c r="I34" s="148" t="s">
        <v>348</v>
      </c>
      <c r="J34" s="149" t="s">
        <v>216</v>
      </c>
      <c r="K34" s="149"/>
      <c r="L34" s="152" t="s">
        <v>348</v>
      </c>
      <c r="M34" s="149" t="s">
        <v>217</v>
      </c>
      <c r="N34" s="149"/>
      <c r="O34" s="152" t="s">
        <v>348</v>
      </c>
      <c r="P34" s="149" t="s">
        <v>218</v>
      </c>
      <c r="Q34" s="154"/>
      <c r="R34" s="154"/>
      <c r="S34" s="154"/>
      <c r="T34" s="154"/>
      <c r="U34" s="154"/>
      <c r="V34" s="154"/>
      <c r="W34" s="154"/>
      <c r="X34" s="155"/>
      <c r="Y34" s="105"/>
      <c r="Z34" s="105"/>
      <c r="AA34" s="105"/>
      <c r="AB34" s="106"/>
      <c r="AC34" s="147"/>
      <c r="AD34" s="105"/>
      <c r="AE34" s="105"/>
      <c r="AF34" s="106"/>
      <c r="AI34" s="119" t="str">
        <f>"11:ninti_senmoncare_code:" &amp; IF(I34="■",1,IF(O34="■",3,IF(L34="■",2,0)))</f>
        <v>11:ninti_senmoncare_code:0</v>
      </c>
    </row>
    <row r="35" spans="1:37" s="119" customFormat="1" ht="18.75" customHeight="1" x14ac:dyDescent="0.15">
      <c r="A35" s="170"/>
      <c r="B35" s="171"/>
      <c r="C35" s="172"/>
      <c r="D35" s="173"/>
      <c r="E35" s="174"/>
      <c r="F35" s="175"/>
      <c r="G35" s="176"/>
      <c r="H35" s="95" t="s">
        <v>405</v>
      </c>
      <c r="I35" s="177" t="s">
        <v>348</v>
      </c>
      <c r="J35" s="96" t="s">
        <v>216</v>
      </c>
      <c r="K35" s="96"/>
      <c r="L35" s="178" t="s">
        <v>348</v>
      </c>
      <c r="M35" s="96" t="s">
        <v>373</v>
      </c>
      <c r="N35" s="97"/>
      <c r="O35" s="178" t="s">
        <v>348</v>
      </c>
      <c r="P35" s="99" t="s">
        <v>374</v>
      </c>
      <c r="Q35" s="98"/>
      <c r="R35" s="178" t="s">
        <v>348</v>
      </c>
      <c r="S35" s="96" t="s">
        <v>375</v>
      </c>
      <c r="T35" s="98"/>
      <c r="U35" s="178" t="s">
        <v>348</v>
      </c>
      <c r="V35" s="96" t="s">
        <v>376</v>
      </c>
      <c r="W35" s="100"/>
      <c r="X35" s="101"/>
      <c r="Y35" s="179"/>
      <c r="Z35" s="179"/>
      <c r="AA35" s="179"/>
      <c r="AB35" s="180"/>
      <c r="AC35" s="181"/>
      <c r="AD35" s="179"/>
      <c r="AE35" s="179"/>
      <c r="AF35" s="180"/>
      <c r="AI35" s="119" t="str">
        <f>"11:shoguukaizen_code:"&amp;IF(I35="■",1,IF(L35="■",7,IF(O35="■",8,IF(R35="■",9,IF(U35="■","A",0)))))</f>
        <v>11:shoguukaizen_code:0</v>
      </c>
    </row>
    <row r="36" spans="1:37" s="119" customFormat="1" ht="19.5" customHeight="1" x14ac:dyDescent="0.15">
      <c r="A36" s="130"/>
      <c r="B36" s="131"/>
      <c r="C36" s="132"/>
      <c r="D36" s="133"/>
      <c r="E36" s="126"/>
      <c r="F36" s="134"/>
      <c r="G36" s="135"/>
      <c r="H36" s="182" t="s">
        <v>369</v>
      </c>
      <c r="I36" s="183" t="s">
        <v>348</v>
      </c>
      <c r="J36" s="184" t="s">
        <v>360</v>
      </c>
      <c r="K36" s="185"/>
      <c r="L36" s="186"/>
      <c r="M36" s="187" t="s">
        <v>348</v>
      </c>
      <c r="N36" s="184" t="s">
        <v>370</v>
      </c>
      <c r="O36" s="188"/>
      <c r="P36" s="184"/>
      <c r="Q36" s="188"/>
      <c r="R36" s="188"/>
      <c r="S36" s="188"/>
      <c r="T36" s="188"/>
      <c r="U36" s="188"/>
      <c r="V36" s="188"/>
      <c r="W36" s="188"/>
      <c r="X36" s="189"/>
      <c r="Y36" s="140" t="s">
        <v>348</v>
      </c>
      <c r="Z36" s="124" t="s">
        <v>215</v>
      </c>
      <c r="AA36" s="124"/>
      <c r="AB36" s="139"/>
      <c r="AC36" s="140" t="s">
        <v>348</v>
      </c>
      <c r="AD36" s="124" t="s">
        <v>215</v>
      </c>
      <c r="AE36" s="124"/>
      <c r="AF36" s="139"/>
      <c r="AG36" s="119" t="str">
        <f>"ser_code = '" &amp; IF(A41="■",12,"") &amp; "'"</f>
        <v>ser_code = ''</v>
      </c>
      <c r="AI36" s="119" t="str">
        <f>"12:field223:" &amp; IF(I36="■",1,IF(M36="■",2,0))</f>
        <v>12:field223:0</v>
      </c>
      <c r="AJ36" s="119" t="str">
        <f>"12:field203:" &amp; IF(Y36="■",1,IF(Y37="■",2,0))</f>
        <v>12:field203:0</v>
      </c>
      <c r="AK36" s="119" t="str">
        <f>"12:waribiki_code:" &amp; IF(AC36="■",1,IF(AC37="■",2,0))</f>
        <v>12:waribiki_code:0</v>
      </c>
    </row>
    <row r="37" spans="1:37" s="119" customFormat="1" ht="19.5" customHeight="1" x14ac:dyDescent="0.15">
      <c r="A37" s="107"/>
      <c r="B37" s="108"/>
      <c r="C37" s="109"/>
      <c r="D37" s="110"/>
      <c r="E37" s="111"/>
      <c r="F37" s="112"/>
      <c r="G37" s="113"/>
      <c r="H37" s="114" t="s">
        <v>390</v>
      </c>
      <c r="I37" s="148" t="s">
        <v>348</v>
      </c>
      <c r="J37" s="149" t="s">
        <v>360</v>
      </c>
      <c r="K37" s="150"/>
      <c r="L37" s="151"/>
      <c r="M37" s="152" t="s">
        <v>348</v>
      </c>
      <c r="N37" s="149" t="s">
        <v>370</v>
      </c>
      <c r="O37" s="153"/>
      <c r="P37" s="149"/>
      <c r="Q37" s="154"/>
      <c r="R37" s="154"/>
      <c r="S37" s="154"/>
      <c r="T37" s="154"/>
      <c r="U37" s="154"/>
      <c r="V37" s="154"/>
      <c r="W37" s="154"/>
      <c r="X37" s="155"/>
      <c r="Y37" s="123" t="s">
        <v>348</v>
      </c>
      <c r="Z37" s="104" t="s">
        <v>221</v>
      </c>
      <c r="AA37" s="105"/>
      <c r="AB37" s="106"/>
      <c r="AC37" s="128" t="s">
        <v>348</v>
      </c>
      <c r="AD37" s="104" t="s">
        <v>221</v>
      </c>
      <c r="AE37" s="105"/>
      <c r="AF37" s="106"/>
      <c r="AI37" s="119" t="str">
        <f>"12:field232:" &amp; IF(I37="■",1,IF(M37="■",2,0))</f>
        <v>12:field232:0</v>
      </c>
    </row>
    <row r="38" spans="1:37" s="119" customFormat="1" ht="19.5" customHeight="1" x14ac:dyDescent="0.15">
      <c r="A38" s="107"/>
      <c r="B38" s="108"/>
      <c r="C38" s="109"/>
      <c r="D38" s="110"/>
      <c r="E38" s="111"/>
      <c r="F38" s="112"/>
      <c r="G38" s="113"/>
      <c r="H38" s="190" t="s">
        <v>125</v>
      </c>
      <c r="I38" s="143" t="s">
        <v>348</v>
      </c>
      <c r="J38" s="115" t="s">
        <v>216</v>
      </c>
      <c r="K38" s="166"/>
      <c r="L38" s="191" t="s">
        <v>348</v>
      </c>
      <c r="M38" s="115" t="s">
        <v>232</v>
      </c>
      <c r="N38" s="115"/>
      <c r="O38" s="115"/>
      <c r="P38" s="115"/>
      <c r="Q38" s="115"/>
      <c r="R38" s="115"/>
      <c r="S38" s="115"/>
      <c r="T38" s="115"/>
      <c r="U38" s="115"/>
      <c r="V38" s="115"/>
      <c r="W38" s="115"/>
      <c r="X38" s="161"/>
      <c r="Y38" s="103"/>
      <c r="Z38" s="104"/>
      <c r="AA38" s="105"/>
      <c r="AB38" s="106"/>
      <c r="AC38" s="110"/>
      <c r="AD38" s="104"/>
      <c r="AE38" s="105"/>
      <c r="AF38" s="106"/>
      <c r="AI38" s="119" t="str">
        <f>"12:tokutiiki_code:" &amp; IF(I38="■",1,IF(L38="■",2,0))</f>
        <v>12:tokutiiki_code:0</v>
      </c>
    </row>
    <row r="39" spans="1:37" s="119" customFormat="1" ht="18.75" customHeight="1" x14ac:dyDescent="0.15">
      <c r="A39" s="107"/>
      <c r="B39" s="108"/>
      <c r="C39" s="109"/>
      <c r="D39" s="110"/>
      <c r="E39" s="111"/>
      <c r="F39" s="112"/>
      <c r="G39" s="113"/>
      <c r="H39" s="329" t="s">
        <v>178</v>
      </c>
      <c r="I39" s="342" t="s">
        <v>348</v>
      </c>
      <c r="J39" s="343" t="s">
        <v>222</v>
      </c>
      <c r="K39" s="343"/>
      <c r="L39" s="343"/>
      <c r="M39" s="342" t="s">
        <v>348</v>
      </c>
      <c r="N39" s="343" t="s">
        <v>223</v>
      </c>
      <c r="O39" s="343"/>
      <c r="P39" s="343"/>
      <c r="Q39" s="168"/>
      <c r="R39" s="168"/>
      <c r="S39" s="168"/>
      <c r="T39" s="168"/>
      <c r="U39" s="168"/>
      <c r="V39" s="168"/>
      <c r="W39" s="168"/>
      <c r="X39" s="169"/>
      <c r="Y39" s="103"/>
      <c r="Z39" s="103"/>
      <c r="AA39" s="103"/>
      <c r="AB39" s="106"/>
      <c r="AC39" s="110"/>
      <c r="AD39" s="103"/>
      <c r="AE39" s="103"/>
      <c r="AF39" s="106"/>
      <c r="AI39" s="119" t="str">
        <f>"12:chuusankanti_tiiki_code:" &amp; IF(I39="■",1,IF(M39="■",2,0))</f>
        <v>12:chuusankanti_tiiki_code:0</v>
      </c>
    </row>
    <row r="40" spans="1:37" s="119" customFormat="1" ht="18.75" customHeight="1" x14ac:dyDescent="0.15">
      <c r="A40" s="107"/>
      <c r="B40" s="108"/>
      <c r="C40" s="109"/>
      <c r="D40" s="110"/>
      <c r="E40" s="111"/>
      <c r="F40" s="112"/>
      <c r="G40" s="113"/>
      <c r="H40" s="328"/>
      <c r="I40" s="331"/>
      <c r="J40" s="333"/>
      <c r="K40" s="333"/>
      <c r="L40" s="333"/>
      <c r="M40" s="331"/>
      <c r="N40" s="333"/>
      <c r="O40" s="333"/>
      <c r="P40" s="333"/>
      <c r="Q40" s="145"/>
      <c r="R40" s="145"/>
      <c r="S40" s="145"/>
      <c r="T40" s="145"/>
      <c r="U40" s="145"/>
      <c r="V40" s="145"/>
      <c r="W40" s="145"/>
      <c r="X40" s="146"/>
      <c r="Y40" s="147"/>
      <c r="Z40" s="105"/>
      <c r="AA40" s="105"/>
      <c r="AB40" s="106"/>
      <c r="AC40" s="147"/>
      <c r="AD40" s="105"/>
      <c r="AE40" s="105"/>
      <c r="AF40" s="106"/>
    </row>
    <row r="41" spans="1:37" s="119" customFormat="1" ht="18.75" customHeight="1" x14ac:dyDescent="0.15">
      <c r="A41" s="128" t="s">
        <v>348</v>
      </c>
      <c r="B41" s="108">
        <v>12</v>
      </c>
      <c r="C41" s="109" t="s">
        <v>378</v>
      </c>
      <c r="D41" s="110"/>
      <c r="E41" s="111"/>
      <c r="F41" s="112"/>
      <c r="G41" s="113"/>
      <c r="H41" s="329" t="s">
        <v>179</v>
      </c>
      <c r="I41" s="342" t="s">
        <v>348</v>
      </c>
      <c r="J41" s="343" t="s">
        <v>222</v>
      </c>
      <c r="K41" s="343"/>
      <c r="L41" s="343"/>
      <c r="M41" s="342" t="s">
        <v>348</v>
      </c>
      <c r="N41" s="343" t="s">
        <v>223</v>
      </c>
      <c r="O41" s="343"/>
      <c r="P41" s="343"/>
      <c r="Q41" s="168"/>
      <c r="R41" s="168"/>
      <c r="S41" s="168"/>
      <c r="T41" s="168"/>
      <c r="U41" s="168"/>
      <c r="V41" s="168"/>
      <c r="W41" s="168"/>
      <c r="X41" s="169"/>
      <c r="Y41" s="147"/>
      <c r="Z41" s="105"/>
      <c r="AA41" s="105"/>
      <c r="AB41" s="106"/>
      <c r="AC41" s="147"/>
      <c r="AD41" s="105"/>
      <c r="AE41" s="105"/>
      <c r="AF41" s="106"/>
      <c r="AI41" s="119" t="str">
        <f>"12:chuusankanti_kibo_code:" &amp; IF(I41="■",1,IF(M41="■",2,0))</f>
        <v>12:chuusankanti_kibo_code:0</v>
      </c>
    </row>
    <row r="42" spans="1:37" s="119" customFormat="1" ht="18.75" customHeight="1" x14ac:dyDescent="0.15">
      <c r="A42" s="107"/>
      <c r="B42" s="108"/>
      <c r="C42" s="109"/>
      <c r="D42" s="110"/>
      <c r="E42" s="111"/>
      <c r="F42" s="112"/>
      <c r="G42" s="113"/>
      <c r="H42" s="328"/>
      <c r="I42" s="330"/>
      <c r="J42" s="332"/>
      <c r="K42" s="332"/>
      <c r="L42" s="332"/>
      <c r="M42" s="330"/>
      <c r="N42" s="333"/>
      <c r="O42" s="333"/>
      <c r="P42" s="333"/>
      <c r="Q42" s="145"/>
      <c r="R42" s="145"/>
      <c r="S42" s="145"/>
      <c r="T42" s="145"/>
      <c r="U42" s="145"/>
      <c r="V42" s="145"/>
      <c r="W42" s="145"/>
      <c r="X42" s="146"/>
      <c r="Y42" s="147"/>
      <c r="Z42" s="105"/>
      <c r="AA42" s="105"/>
      <c r="AB42" s="106"/>
      <c r="AC42" s="147"/>
      <c r="AD42" s="105"/>
      <c r="AE42" s="105"/>
      <c r="AF42" s="106"/>
    </row>
    <row r="43" spans="1:37" s="119" customFormat="1" ht="19.5" customHeight="1" x14ac:dyDescent="0.15">
      <c r="A43" s="107"/>
      <c r="B43" s="108"/>
      <c r="C43" s="109"/>
      <c r="D43" s="110"/>
      <c r="E43" s="111"/>
      <c r="F43" s="112"/>
      <c r="G43" s="113"/>
      <c r="H43" s="192" t="s">
        <v>109</v>
      </c>
      <c r="I43" s="152" t="s">
        <v>348</v>
      </c>
      <c r="J43" s="149" t="s">
        <v>216</v>
      </c>
      <c r="K43" s="149"/>
      <c r="L43" s="152" t="s">
        <v>348</v>
      </c>
      <c r="M43" s="149" t="s">
        <v>217</v>
      </c>
      <c r="N43" s="149"/>
      <c r="O43" s="152" t="s">
        <v>348</v>
      </c>
      <c r="P43" s="149" t="s">
        <v>218</v>
      </c>
      <c r="Q43" s="154"/>
      <c r="R43" s="150"/>
      <c r="S43" s="150"/>
      <c r="T43" s="150"/>
      <c r="U43" s="150"/>
      <c r="V43" s="150"/>
      <c r="W43" s="150"/>
      <c r="X43" s="159"/>
      <c r="Y43" s="147"/>
      <c r="Z43" s="105"/>
      <c r="AA43" s="105"/>
      <c r="AB43" s="106"/>
      <c r="AC43" s="147"/>
      <c r="AD43" s="105"/>
      <c r="AE43" s="105"/>
      <c r="AF43" s="106"/>
      <c r="AI43" s="119" t="str">
        <f>"12:ninti_senmoncare_code:" &amp; IF(I43="■",1,IF(O43="■",3,IF(L43="■",2,0)))</f>
        <v>12:ninti_senmoncare_code:0</v>
      </c>
    </row>
    <row r="44" spans="1:37" s="119" customFormat="1" ht="18.75" customHeight="1" x14ac:dyDescent="0.15">
      <c r="A44" s="164"/>
      <c r="B44" s="108"/>
      <c r="C44" s="109"/>
      <c r="D44" s="110"/>
      <c r="E44" s="111"/>
      <c r="F44" s="112"/>
      <c r="G44" s="113"/>
      <c r="H44" s="190" t="s">
        <v>377</v>
      </c>
      <c r="I44" s="148" t="s">
        <v>348</v>
      </c>
      <c r="J44" s="149" t="s">
        <v>216</v>
      </c>
      <c r="K44" s="150"/>
      <c r="L44" s="152" t="s">
        <v>348</v>
      </c>
      <c r="M44" s="149" t="s">
        <v>232</v>
      </c>
      <c r="N44" s="144"/>
      <c r="O44" s="144"/>
      <c r="P44" s="144"/>
      <c r="Q44" s="145"/>
      <c r="R44" s="145"/>
      <c r="S44" s="145"/>
      <c r="T44" s="145"/>
      <c r="U44" s="145"/>
      <c r="V44" s="145"/>
      <c r="W44" s="145"/>
      <c r="X44" s="146"/>
      <c r="Y44" s="147"/>
      <c r="Z44" s="105"/>
      <c r="AA44" s="105"/>
      <c r="AB44" s="106"/>
      <c r="AC44" s="147"/>
      <c r="AD44" s="105"/>
      <c r="AE44" s="105"/>
      <c r="AF44" s="106"/>
      <c r="AI44" s="119" t="str">
        <f>"12:field171:" &amp; IF(I44="■",1,IF(L44="■",2,0))</f>
        <v>12:field171:0</v>
      </c>
    </row>
    <row r="45" spans="1:37" s="119" customFormat="1" ht="19.5" customHeight="1" x14ac:dyDescent="0.15">
      <c r="A45" s="107"/>
      <c r="B45" s="108"/>
      <c r="C45" s="109"/>
      <c r="D45" s="110"/>
      <c r="E45" s="111"/>
      <c r="F45" s="112"/>
      <c r="G45" s="113"/>
      <c r="H45" s="157" t="s">
        <v>138</v>
      </c>
      <c r="I45" s="148" t="s">
        <v>348</v>
      </c>
      <c r="J45" s="115" t="s">
        <v>216</v>
      </c>
      <c r="K45" s="115"/>
      <c r="L45" s="152" t="s">
        <v>348</v>
      </c>
      <c r="M45" s="149" t="s">
        <v>228</v>
      </c>
      <c r="N45" s="149"/>
      <c r="O45" s="152" t="s">
        <v>348</v>
      </c>
      <c r="P45" s="149" t="s">
        <v>218</v>
      </c>
      <c r="Q45" s="149"/>
      <c r="R45" s="152" t="s">
        <v>348</v>
      </c>
      <c r="S45" s="115" t="s">
        <v>229</v>
      </c>
      <c r="T45" s="115"/>
      <c r="U45" s="149"/>
      <c r="V45" s="149"/>
      <c r="W45" s="149"/>
      <c r="X45" s="158"/>
      <c r="Y45" s="147"/>
      <c r="Z45" s="105"/>
      <c r="AA45" s="105"/>
      <c r="AB45" s="106"/>
      <c r="AC45" s="147"/>
      <c r="AD45" s="105"/>
      <c r="AE45" s="105"/>
      <c r="AF45" s="106"/>
      <c r="AI45" s="119" t="str">
        <f>"12:serteikyo_kyoka_code:" &amp; IF(I45="■",1,IF(L45="■",4,IF(O45="■",3,IF(R45="■",5,0))))</f>
        <v>12:serteikyo_kyoka_code:0</v>
      </c>
    </row>
    <row r="46" spans="1:37" s="119" customFormat="1" ht="18.75" customHeight="1" x14ac:dyDescent="0.15">
      <c r="A46" s="170"/>
      <c r="B46" s="171"/>
      <c r="C46" s="172"/>
      <c r="D46" s="173"/>
      <c r="E46" s="174"/>
      <c r="F46" s="175"/>
      <c r="G46" s="176"/>
      <c r="H46" s="95" t="s">
        <v>405</v>
      </c>
      <c r="I46" s="177" t="s">
        <v>348</v>
      </c>
      <c r="J46" s="96" t="s">
        <v>216</v>
      </c>
      <c r="K46" s="96"/>
      <c r="L46" s="178" t="s">
        <v>348</v>
      </c>
      <c r="M46" s="96" t="s">
        <v>373</v>
      </c>
      <c r="N46" s="97"/>
      <c r="O46" s="178" t="s">
        <v>348</v>
      </c>
      <c r="P46" s="99" t="s">
        <v>374</v>
      </c>
      <c r="Q46" s="98"/>
      <c r="R46" s="178" t="s">
        <v>348</v>
      </c>
      <c r="S46" s="96" t="s">
        <v>375</v>
      </c>
      <c r="T46" s="98"/>
      <c r="U46" s="178" t="s">
        <v>348</v>
      </c>
      <c r="V46" s="96" t="s">
        <v>376</v>
      </c>
      <c r="W46" s="100"/>
      <c r="X46" s="101"/>
      <c r="Y46" s="179"/>
      <c r="Z46" s="179"/>
      <c r="AA46" s="179"/>
      <c r="AB46" s="180"/>
      <c r="AC46" s="181"/>
      <c r="AD46" s="179"/>
      <c r="AE46" s="179"/>
      <c r="AF46" s="180"/>
      <c r="AI46" s="119" t="str">
        <f>"12:shoguukaizen_code:"&amp;IF(I46="■",1,IF(L46="■",7,IF(O46="■",8,IF(R46="■",9,IF(U46="■","A",0)))))</f>
        <v>12:shoguukaizen_code:0</v>
      </c>
    </row>
    <row r="47" spans="1:37" s="119" customFormat="1" ht="19.5" customHeight="1" x14ac:dyDescent="0.15">
      <c r="A47" s="130"/>
      <c r="B47" s="131"/>
      <c r="C47" s="132"/>
      <c r="D47" s="133"/>
      <c r="E47" s="126"/>
      <c r="F47" s="134"/>
      <c r="G47" s="135"/>
      <c r="H47" s="182" t="s">
        <v>369</v>
      </c>
      <c r="I47" s="183" t="s">
        <v>348</v>
      </c>
      <c r="J47" s="184" t="s">
        <v>360</v>
      </c>
      <c r="K47" s="185"/>
      <c r="L47" s="186"/>
      <c r="M47" s="187" t="s">
        <v>348</v>
      </c>
      <c r="N47" s="184" t="s">
        <v>370</v>
      </c>
      <c r="O47" s="193"/>
      <c r="P47" s="184"/>
      <c r="Q47" s="188"/>
      <c r="R47" s="188"/>
      <c r="S47" s="188"/>
      <c r="T47" s="188"/>
      <c r="U47" s="188"/>
      <c r="V47" s="188"/>
      <c r="W47" s="188"/>
      <c r="X47" s="189"/>
      <c r="Y47" s="140" t="s">
        <v>348</v>
      </c>
      <c r="Z47" s="124" t="s">
        <v>215</v>
      </c>
      <c r="AA47" s="124"/>
      <c r="AB47" s="139"/>
      <c r="AC47" s="311"/>
      <c r="AD47" s="312"/>
      <c r="AE47" s="312"/>
      <c r="AF47" s="313"/>
      <c r="AG47" s="119" t="str">
        <f>"ser_code = '" &amp; IF(A55="■",13,"") &amp; "'"</f>
        <v>ser_code = ''</v>
      </c>
      <c r="AI47" s="119" t="str">
        <f>"13:field223:" &amp; IF(I47="■",1,IF(M47="■",2,0))</f>
        <v>13:field223:0</v>
      </c>
      <c r="AJ47" s="119" t="str">
        <f>"13:field203:" &amp; IF(Y47="■",1,IF(Y48="■",2,0))</f>
        <v>13:field203:0</v>
      </c>
    </row>
    <row r="48" spans="1:37" s="119" customFormat="1" ht="19.5" customHeight="1" x14ac:dyDescent="0.15">
      <c r="A48" s="107"/>
      <c r="B48" s="108"/>
      <c r="C48" s="109"/>
      <c r="D48" s="110"/>
      <c r="E48" s="111"/>
      <c r="F48" s="112"/>
      <c r="G48" s="113"/>
      <c r="H48" s="114" t="s">
        <v>390</v>
      </c>
      <c r="I48" s="148" t="s">
        <v>348</v>
      </c>
      <c r="J48" s="149" t="s">
        <v>360</v>
      </c>
      <c r="K48" s="150"/>
      <c r="L48" s="151"/>
      <c r="M48" s="152" t="s">
        <v>348</v>
      </c>
      <c r="N48" s="149" t="s">
        <v>370</v>
      </c>
      <c r="O48" s="153"/>
      <c r="P48" s="149"/>
      <c r="Q48" s="154"/>
      <c r="R48" s="154"/>
      <c r="S48" s="154"/>
      <c r="T48" s="154"/>
      <c r="U48" s="154"/>
      <c r="V48" s="154"/>
      <c r="W48" s="154"/>
      <c r="X48" s="155"/>
      <c r="Y48" s="123" t="s">
        <v>348</v>
      </c>
      <c r="Z48" s="104" t="s">
        <v>221</v>
      </c>
      <c r="AA48" s="105"/>
      <c r="AB48" s="106"/>
      <c r="AC48" s="314"/>
      <c r="AD48" s="315"/>
      <c r="AE48" s="315"/>
      <c r="AF48" s="316"/>
      <c r="AI48" s="119" t="str">
        <f>"13:field232:" &amp; IF(I48="■",1,IF(M48="■",2,0))</f>
        <v>13:field232:0</v>
      </c>
    </row>
    <row r="49" spans="1:36" s="119" customFormat="1" ht="18.75" customHeight="1" x14ac:dyDescent="0.15">
      <c r="A49" s="107"/>
      <c r="B49" s="108"/>
      <c r="C49" s="109"/>
      <c r="D49" s="110"/>
      <c r="E49" s="111"/>
      <c r="F49" s="112"/>
      <c r="G49" s="113"/>
      <c r="H49" s="190" t="s">
        <v>125</v>
      </c>
      <c r="I49" s="143" t="s">
        <v>348</v>
      </c>
      <c r="J49" s="115" t="s">
        <v>216</v>
      </c>
      <c r="K49" s="166"/>
      <c r="L49" s="191" t="s">
        <v>348</v>
      </c>
      <c r="M49" s="115" t="s">
        <v>232</v>
      </c>
      <c r="N49" s="115"/>
      <c r="O49" s="115"/>
      <c r="P49" s="115"/>
      <c r="Q49" s="145"/>
      <c r="R49" s="145"/>
      <c r="S49" s="145"/>
      <c r="T49" s="145"/>
      <c r="U49" s="145"/>
      <c r="V49" s="145"/>
      <c r="W49" s="145"/>
      <c r="X49" s="146"/>
      <c r="Y49" s="103"/>
      <c r="Z49" s="104"/>
      <c r="AA49" s="105"/>
      <c r="AB49" s="106"/>
      <c r="AC49" s="314"/>
      <c r="AD49" s="315"/>
      <c r="AE49" s="315"/>
      <c r="AF49" s="316"/>
      <c r="AG49" s="119" t="str">
        <f>"13:sisetukbn_code:" &amp; IF(D54="■",1,IF(D55="■",2,IF(D56="■",3,0)))</f>
        <v>13:sisetukbn_code:0</v>
      </c>
      <c r="AI49" s="119" t="str">
        <f>"13:tokutiiki_code:" &amp; IF(I49="■",1,IF(L49="■",2,0))</f>
        <v>13:tokutiiki_code:0</v>
      </c>
    </row>
    <row r="50" spans="1:36" s="119" customFormat="1" ht="18.75" customHeight="1" x14ac:dyDescent="0.15">
      <c r="A50" s="107"/>
      <c r="B50" s="108"/>
      <c r="C50" s="109"/>
      <c r="D50" s="110"/>
      <c r="E50" s="111"/>
      <c r="F50" s="112"/>
      <c r="G50" s="113"/>
      <c r="H50" s="329" t="s">
        <v>178</v>
      </c>
      <c r="I50" s="342" t="s">
        <v>348</v>
      </c>
      <c r="J50" s="343" t="s">
        <v>222</v>
      </c>
      <c r="K50" s="343"/>
      <c r="L50" s="343"/>
      <c r="M50" s="342" t="s">
        <v>348</v>
      </c>
      <c r="N50" s="343" t="s">
        <v>223</v>
      </c>
      <c r="O50" s="343"/>
      <c r="P50" s="343"/>
      <c r="Q50" s="168"/>
      <c r="R50" s="168"/>
      <c r="S50" s="168"/>
      <c r="T50" s="168"/>
      <c r="U50" s="168"/>
      <c r="V50" s="168"/>
      <c r="W50" s="168"/>
      <c r="X50" s="169"/>
      <c r="Y50" s="103"/>
      <c r="Z50" s="103"/>
      <c r="AA50" s="103"/>
      <c r="AB50" s="106"/>
      <c r="AC50" s="314"/>
      <c r="AD50" s="315"/>
      <c r="AE50" s="315"/>
      <c r="AF50" s="316"/>
      <c r="AI50" s="119" t="str">
        <f>"13:chuusankanti_tiiki_code:" &amp; IF(I50="■",1,IF(M50="■",2,0))</f>
        <v>13:chuusankanti_tiiki_code:0</v>
      </c>
    </row>
    <row r="51" spans="1:36" s="119" customFormat="1" ht="18.75" customHeight="1" x14ac:dyDescent="0.15">
      <c r="A51" s="107"/>
      <c r="B51" s="108"/>
      <c r="C51" s="109"/>
      <c r="D51" s="110"/>
      <c r="E51" s="111"/>
      <c r="F51" s="112"/>
      <c r="G51" s="113"/>
      <c r="H51" s="328"/>
      <c r="I51" s="331"/>
      <c r="J51" s="333"/>
      <c r="K51" s="333"/>
      <c r="L51" s="333"/>
      <c r="M51" s="331"/>
      <c r="N51" s="333"/>
      <c r="O51" s="333"/>
      <c r="P51" s="333"/>
      <c r="Q51" s="145"/>
      <c r="R51" s="145"/>
      <c r="S51" s="145"/>
      <c r="T51" s="145"/>
      <c r="U51" s="145"/>
      <c r="V51" s="145"/>
      <c r="W51" s="145"/>
      <c r="X51" s="146"/>
      <c r="Y51" s="147"/>
      <c r="Z51" s="105"/>
      <c r="AA51" s="105"/>
      <c r="AB51" s="106"/>
      <c r="AC51" s="314"/>
      <c r="AD51" s="315"/>
      <c r="AE51" s="315"/>
      <c r="AF51" s="316"/>
    </row>
    <row r="52" spans="1:36" s="119" customFormat="1" ht="18.75" customHeight="1" x14ac:dyDescent="0.15">
      <c r="A52" s="107"/>
      <c r="B52" s="108"/>
      <c r="C52" s="109"/>
      <c r="D52" s="110"/>
      <c r="E52" s="111"/>
      <c r="F52" s="112"/>
      <c r="G52" s="113"/>
      <c r="H52" s="329" t="s">
        <v>179</v>
      </c>
      <c r="I52" s="342" t="s">
        <v>348</v>
      </c>
      <c r="J52" s="343" t="s">
        <v>222</v>
      </c>
      <c r="K52" s="343"/>
      <c r="L52" s="343"/>
      <c r="M52" s="342" t="s">
        <v>348</v>
      </c>
      <c r="N52" s="343" t="s">
        <v>223</v>
      </c>
      <c r="O52" s="343"/>
      <c r="P52" s="343"/>
      <c r="Q52" s="168"/>
      <c r="R52" s="168"/>
      <c r="S52" s="168"/>
      <c r="T52" s="168"/>
      <c r="U52" s="168"/>
      <c r="V52" s="168"/>
      <c r="W52" s="168"/>
      <c r="X52" s="169"/>
      <c r="Y52" s="147"/>
      <c r="Z52" s="105"/>
      <c r="AA52" s="105"/>
      <c r="AB52" s="106"/>
      <c r="AC52" s="314"/>
      <c r="AD52" s="315"/>
      <c r="AE52" s="315"/>
      <c r="AF52" s="316"/>
      <c r="AI52" s="119" t="str">
        <f>"13:chuusankanti_kibo_code:" &amp; IF(I52="■",1,IF(M52="■",2,0))</f>
        <v>13:chuusankanti_kibo_code:0</v>
      </c>
    </row>
    <row r="53" spans="1:36" s="119" customFormat="1" ht="18.75" customHeight="1" x14ac:dyDescent="0.15">
      <c r="A53" s="107"/>
      <c r="B53" s="108"/>
      <c r="C53" s="109"/>
      <c r="D53" s="110"/>
      <c r="E53" s="111"/>
      <c r="F53" s="112"/>
      <c r="G53" s="113"/>
      <c r="H53" s="328"/>
      <c r="I53" s="331"/>
      <c r="J53" s="333"/>
      <c r="K53" s="333"/>
      <c r="L53" s="333"/>
      <c r="M53" s="331"/>
      <c r="N53" s="333"/>
      <c r="O53" s="333"/>
      <c r="P53" s="333"/>
      <c r="Q53" s="145"/>
      <c r="R53" s="145"/>
      <c r="S53" s="145"/>
      <c r="T53" s="145"/>
      <c r="U53" s="145"/>
      <c r="V53" s="145"/>
      <c r="W53" s="145"/>
      <c r="X53" s="146"/>
      <c r="Y53" s="147"/>
      <c r="Z53" s="105"/>
      <c r="AA53" s="105"/>
      <c r="AB53" s="106"/>
      <c r="AC53" s="314"/>
      <c r="AD53" s="315"/>
      <c r="AE53" s="315"/>
      <c r="AF53" s="316"/>
    </row>
    <row r="54" spans="1:36" s="119" customFormat="1" ht="18.75" customHeight="1" x14ac:dyDescent="0.15">
      <c r="A54" s="107"/>
      <c r="B54" s="108"/>
      <c r="C54" s="109"/>
      <c r="D54" s="123" t="s">
        <v>348</v>
      </c>
      <c r="E54" s="111" t="s">
        <v>241</v>
      </c>
      <c r="F54" s="112"/>
      <c r="G54" s="113"/>
      <c r="H54" s="157" t="s">
        <v>185</v>
      </c>
      <c r="I54" s="194" t="s">
        <v>348</v>
      </c>
      <c r="J54" s="149" t="s">
        <v>216</v>
      </c>
      <c r="K54" s="150"/>
      <c r="L54" s="152" t="s">
        <v>348</v>
      </c>
      <c r="M54" s="149" t="s">
        <v>233</v>
      </c>
      <c r="N54" s="149"/>
      <c r="O54" s="195" t="s">
        <v>348</v>
      </c>
      <c r="P54" s="160" t="s">
        <v>234</v>
      </c>
      <c r="Q54" s="196"/>
      <c r="R54" s="196"/>
      <c r="S54" s="196"/>
      <c r="T54" s="196"/>
      <c r="U54" s="196"/>
      <c r="V54" s="196"/>
      <c r="W54" s="196"/>
      <c r="X54" s="197"/>
      <c r="Y54" s="147"/>
      <c r="Z54" s="105"/>
      <c r="AA54" s="105"/>
      <c r="AB54" s="106"/>
      <c r="AC54" s="314"/>
      <c r="AD54" s="315"/>
      <c r="AE54" s="315"/>
      <c r="AF54" s="316"/>
      <c r="AI54" s="119" t="str">
        <f>"13:kinkyu_code:"&amp;IF(I54="■",1,IF(O54="■",3,IF(L54="■",2,0)))</f>
        <v>13:kinkyu_code:0</v>
      </c>
    </row>
    <row r="55" spans="1:36" s="119" customFormat="1" ht="18.75" customHeight="1" x14ac:dyDescent="0.15">
      <c r="A55" s="128" t="s">
        <v>348</v>
      </c>
      <c r="B55" s="108">
        <v>13</v>
      </c>
      <c r="C55" s="109" t="s">
        <v>4</v>
      </c>
      <c r="D55" s="123" t="s">
        <v>348</v>
      </c>
      <c r="E55" s="111" t="s">
        <v>239</v>
      </c>
      <c r="F55" s="112"/>
      <c r="G55" s="113"/>
      <c r="H55" s="157" t="s">
        <v>186</v>
      </c>
      <c r="I55" s="194" t="s">
        <v>348</v>
      </c>
      <c r="J55" s="149" t="s">
        <v>230</v>
      </c>
      <c r="K55" s="150"/>
      <c r="L55" s="151"/>
      <c r="M55" s="123" t="s">
        <v>348</v>
      </c>
      <c r="N55" s="149" t="s">
        <v>231</v>
      </c>
      <c r="O55" s="154"/>
      <c r="P55" s="154"/>
      <c r="Q55" s="154"/>
      <c r="R55" s="154"/>
      <c r="S55" s="154"/>
      <c r="T55" s="154"/>
      <c r="U55" s="154"/>
      <c r="V55" s="154"/>
      <c r="W55" s="154"/>
      <c r="X55" s="155"/>
      <c r="Y55" s="147"/>
      <c r="Z55" s="105"/>
      <c r="AA55" s="105"/>
      <c r="AB55" s="106"/>
      <c r="AC55" s="314"/>
      <c r="AD55" s="315"/>
      <c r="AE55" s="315"/>
      <c r="AF55" s="316"/>
      <c r="AI55" s="119" t="str">
        <f>"13:tokukanri_code:" &amp; IF(I55="■",1,IF(M55="■",2,0))</f>
        <v>13:tokukanri_code:0</v>
      </c>
    </row>
    <row r="56" spans="1:36" s="119" customFormat="1" ht="18.75" customHeight="1" x14ac:dyDescent="0.15">
      <c r="A56" s="107"/>
      <c r="B56" s="108"/>
      <c r="C56" s="109"/>
      <c r="D56" s="123" t="s">
        <v>348</v>
      </c>
      <c r="E56" s="111" t="s">
        <v>240</v>
      </c>
      <c r="F56" s="112"/>
      <c r="G56" s="113"/>
      <c r="H56" s="157" t="s">
        <v>379</v>
      </c>
      <c r="I56" s="194" t="s">
        <v>348</v>
      </c>
      <c r="J56" s="149" t="s">
        <v>216</v>
      </c>
      <c r="K56" s="150"/>
      <c r="L56" s="152" t="s">
        <v>348</v>
      </c>
      <c r="M56" s="149" t="s">
        <v>232</v>
      </c>
      <c r="N56" s="149"/>
      <c r="O56" s="196"/>
      <c r="P56" s="196"/>
      <c r="Q56" s="196"/>
      <c r="R56" s="196"/>
      <c r="S56" s="196"/>
      <c r="T56" s="196"/>
      <c r="U56" s="196"/>
      <c r="V56" s="196"/>
      <c r="W56" s="196"/>
      <c r="X56" s="197"/>
      <c r="Y56" s="147"/>
      <c r="Z56" s="105"/>
      <c r="AA56" s="105"/>
      <c r="AB56" s="106"/>
      <c r="AC56" s="314"/>
      <c r="AD56" s="315"/>
      <c r="AE56" s="315"/>
      <c r="AF56" s="316"/>
      <c r="AI56" s="119" t="str">
        <f>"13:field230:" &amp; IF(I56="■",1,IF(L56="■",2,0))</f>
        <v>13:field230:0</v>
      </c>
    </row>
    <row r="57" spans="1:36" s="119" customFormat="1" ht="18.75" customHeight="1" x14ac:dyDescent="0.15">
      <c r="A57" s="107"/>
      <c r="B57" s="108"/>
      <c r="C57" s="109"/>
      <c r="D57" s="110"/>
      <c r="E57" s="111"/>
      <c r="F57" s="112"/>
      <c r="G57" s="113"/>
      <c r="H57" s="157" t="s">
        <v>139</v>
      </c>
      <c r="I57" s="194" t="s">
        <v>348</v>
      </c>
      <c r="J57" s="149" t="s">
        <v>216</v>
      </c>
      <c r="K57" s="150"/>
      <c r="L57" s="152" t="s">
        <v>348</v>
      </c>
      <c r="M57" s="149" t="s">
        <v>232</v>
      </c>
      <c r="N57" s="149"/>
      <c r="O57" s="196"/>
      <c r="P57" s="196"/>
      <c r="Q57" s="196"/>
      <c r="R57" s="196"/>
      <c r="S57" s="196"/>
      <c r="T57" s="196"/>
      <c r="U57" s="196"/>
      <c r="V57" s="196"/>
      <c r="W57" s="196"/>
      <c r="X57" s="197"/>
      <c r="Y57" s="147"/>
      <c r="Z57" s="105"/>
      <c r="AA57" s="105"/>
      <c r="AB57" s="106"/>
      <c r="AC57" s="314"/>
      <c r="AD57" s="315"/>
      <c r="AE57" s="315"/>
      <c r="AF57" s="316"/>
      <c r="AI57" s="119" t="str">
        <f>"13:terminal_code:" &amp; IF(I57="■",1,IF(L57="■",2,0))</f>
        <v>13:terminal_code:0</v>
      </c>
    </row>
    <row r="58" spans="1:36" s="119" customFormat="1" ht="18.75" customHeight="1" x14ac:dyDescent="0.15">
      <c r="A58" s="107"/>
      <c r="B58" s="108"/>
      <c r="C58" s="109"/>
      <c r="D58" s="110"/>
      <c r="E58" s="111"/>
      <c r="F58" s="112"/>
      <c r="G58" s="113"/>
      <c r="H58" s="157" t="s">
        <v>380</v>
      </c>
      <c r="I58" s="194" t="s">
        <v>348</v>
      </c>
      <c r="J58" s="149" t="s">
        <v>216</v>
      </c>
      <c r="K58" s="150"/>
      <c r="L58" s="152" t="s">
        <v>348</v>
      </c>
      <c r="M58" s="149" t="s">
        <v>232</v>
      </c>
      <c r="N58" s="149"/>
      <c r="O58" s="196"/>
      <c r="P58" s="196"/>
      <c r="Q58" s="196"/>
      <c r="R58" s="196"/>
      <c r="S58" s="196"/>
      <c r="T58" s="196"/>
      <c r="U58" s="196"/>
      <c r="V58" s="196"/>
      <c r="W58" s="196"/>
      <c r="X58" s="197"/>
      <c r="Y58" s="147"/>
      <c r="Z58" s="105"/>
      <c r="AA58" s="105"/>
      <c r="AB58" s="106"/>
      <c r="AC58" s="314"/>
      <c r="AD58" s="315"/>
      <c r="AE58" s="315"/>
      <c r="AF58" s="316"/>
      <c r="AI58" s="119" t="str">
        <f>"13:field231:" &amp; IF(I58="■",1,IF(L58="■",2,0))</f>
        <v>13:field231:0</v>
      </c>
    </row>
    <row r="59" spans="1:36" s="119" customFormat="1" ht="18.75" customHeight="1" x14ac:dyDescent="0.15">
      <c r="A59" s="107"/>
      <c r="B59" s="108"/>
      <c r="C59" s="109"/>
      <c r="D59" s="110"/>
      <c r="E59" s="111"/>
      <c r="F59" s="112"/>
      <c r="G59" s="113"/>
      <c r="H59" s="157" t="s">
        <v>140</v>
      </c>
      <c r="I59" s="194" t="s">
        <v>348</v>
      </c>
      <c r="J59" s="149" t="s">
        <v>216</v>
      </c>
      <c r="K59" s="149"/>
      <c r="L59" s="152" t="s">
        <v>348</v>
      </c>
      <c r="M59" s="149" t="s">
        <v>233</v>
      </c>
      <c r="N59" s="149"/>
      <c r="O59" s="123" t="s">
        <v>348</v>
      </c>
      <c r="P59" s="149" t="s">
        <v>234</v>
      </c>
      <c r="Q59" s="196"/>
      <c r="R59" s="196"/>
      <c r="S59" s="196"/>
      <c r="T59" s="196"/>
      <c r="U59" s="196"/>
      <c r="V59" s="196"/>
      <c r="W59" s="196"/>
      <c r="X59" s="197"/>
      <c r="Y59" s="147"/>
      <c r="Z59" s="105"/>
      <c r="AA59" s="105"/>
      <c r="AB59" s="106"/>
      <c r="AC59" s="314"/>
      <c r="AD59" s="315"/>
      <c r="AE59" s="315"/>
      <c r="AF59" s="316"/>
      <c r="AI59" s="119" t="str">
        <f>"13:field169:" &amp; IF(I59="■",1,IF(L59="■",3,IF(O59="■",2,0)))</f>
        <v>13:field169:0</v>
      </c>
    </row>
    <row r="60" spans="1:36" s="119" customFormat="1" ht="19.5" customHeight="1" x14ac:dyDescent="0.15">
      <c r="A60" s="107"/>
      <c r="B60" s="108"/>
      <c r="C60" s="109"/>
      <c r="D60" s="110"/>
      <c r="E60" s="111"/>
      <c r="F60" s="112"/>
      <c r="G60" s="113"/>
      <c r="H60" s="114" t="s">
        <v>372</v>
      </c>
      <c r="I60" s="148" t="s">
        <v>348</v>
      </c>
      <c r="J60" s="149" t="s">
        <v>216</v>
      </c>
      <c r="K60" s="149"/>
      <c r="L60" s="152" t="s">
        <v>348</v>
      </c>
      <c r="M60" s="149" t="s">
        <v>232</v>
      </c>
      <c r="N60" s="149"/>
      <c r="O60" s="154"/>
      <c r="P60" s="149"/>
      <c r="Q60" s="154"/>
      <c r="R60" s="154"/>
      <c r="S60" s="154"/>
      <c r="T60" s="154"/>
      <c r="U60" s="154"/>
      <c r="V60" s="154"/>
      <c r="W60" s="154"/>
      <c r="X60" s="155"/>
      <c r="Y60" s="105"/>
      <c r="Z60" s="105"/>
      <c r="AA60" s="105"/>
      <c r="AB60" s="106"/>
      <c r="AC60" s="314"/>
      <c r="AD60" s="315"/>
      <c r="AE60" s="315"/>
      <c r="AF60" s="316"/>
      <c r="AI60" s="119" t="str">
        <f>"13:field224:" &amp; IF(I60="■",1,IF(L60="■",2,0))</f>
        <v>13:field224:0</v>
      </c>
    </row>
    <row r="61" spans="1:36" s="119" customFormat="1" ht="18.75" customHeight="1" x14ac:dyDescent="0.15">
      <c r="A61" s="107"/>
      <c r="B61" s="108"/>
      <c r="C61" s="109"/>
      <c r="D61" s="110"/>
      <c r="E61" s="111"/>
      <c r="F61" s="112"/>
      <c r="G61" s="113"/>
      <c r="H61" s="329" t="s">
        <v>138</v>
      </c>
      <c r="I61" s="194" t="s">
        <v>348</v>
      </c>
      <c r="J61" s="160" t="s">
        <v>216</v>
      </c>
      <c r="K61" s="198"/>
      <c r="L61" s="103"/>
      <c r="M61" s="103"/>
      <c r="N61" s="198"/>
      <c r="O61" s="198"/>
      <c r="P61" s="198"/>
      <c r="Q61" s="195" t="s">
        <v>348</v>
      </c>
      <c r="R61" s="160" t="s">
        <v>235</v>
      </c>
      <c r="S61" s="162"/>
      <c r="T61" s="104"/>
      <c r="U61" s="198"/>
      <c r="V61" s="198"/>
      <c r="W61" s="198"/>
      <c r="X61" s="199"/>
      <c r="Y61" s="147"/>
      <c r="Z61" s="105"/>
      <c r="AA61" s="105"/>
      <c r="AB61" s="106"/>
      <c r="AC61" s="314"/>
      <c r="AD61" s="315"/>
      <c r="AE61" s="315"/>
      <c r="AF61" s="316"/>
      <c r="AI61" s="119" t="str">
        <f>"13:serteikyo_kyoka_code:"&amp;IF(I61="■",1,IF(I62="■",2,IF(I63="■",3,IF(Q61="■",4,IF(Q62="■",5,0)))))</f>
        <v>13:serteikyo_kyoka_code:0</v>
      </c>
    </row>
    <row r="62" spans="1:36" s="119" customFormat="1" ht="18.75" customHeight="1" x14ac:dyDescent="0.15">
      <c r="A62" s="107"/>
      <c r="B62" s="108"/>
      <c r="C62" s="109"/>
      <c r="D62" s="110"/>
      <c r="E62" s="111"/>
      <c r="F62" s="112"/>
      <c r="G62" s="113"/>
      <c r="H62" s="327"/>
      <c r="I62" s="128" t="s">
        <v>348</v>
      </c>
      <c r="J62" s="104" t="s">
        <v>236</v>
      </c>
      <c r="K62" s="103"/>
      <c r="L62" s="103"/>
      <c r="M62" s="104"/>
      <c r="N62" s="103"/>
      <c r="O62" s="103"/>
      <c r="P62" s="103"/>
      <c r="Q62" s="123" t="s">
        <v>348</v>
      </c>
      <c r="R62" s="103" t="s">
        <v>237</v>
      </c>
      <c r="S62" s="162"/>
      <c r="T62" s="104"/>
      <c r="U62" s="103"/>
      <c r="V62" s="103"/>
      <c r="W62" s="103"/>
      <c r="X62" s="165"/>
      <c r="Y62" s="147"/>
      <c r="Z62" s="105"/>
      <c r="AA62" s="105"/>
      <c r="AB62" s="106"/>
      <c r="AC62" s="314"/>
      <c r="AD62" s="315"/>
      <c r="AE62" s="315"/>
      <c r="AF62" s="316"/>
    </row>
    <row r="63" spans="1:36" s="119" customFormat="1" ht="18.75" customHeight="1" x14ac:dyDescent="0.15">
      <c r="A63" s="170"/>
      <c r="B63" s="171"/>
      <c r="C63" s="172"/>
      <c r="D63" s="173"/>
      <c r="E63" s="174"/>
      <c r="F63" s="175"/>
      <c r="G63" s="176"/>
      <c r="H63" s="350"/>
      <c r="I63" s="200" t="s">
        <v>348</v>
      </c>
      <c r="J63" s="201" t="s">
        <v>238</v>
      </c>
      <c r="K63" s="202"/>
      <c r="L63" s="202"/>
      <c r="M63" s="202"/>
      <c r="N63" s="202"/>
      <c r="O63" s="201"/>
      <c r="P63" s="201"/>
      <c r="Q63" s="202"/>
      <c r="R63" s="202"/>
      <c r="S63" s="202"/>
      <c r="T63" s="202"/>
      <c r="U63" s="202"/>
      <c r="V63" s="202"/>
      <c r="W63" s="202"/>
      <c r="X63" s="203"/>
      <c r="Y63" s="181"/>
      <c r="Z63" s="179"/>
      <c r="AA63" s="179"/>
      <c r="AB63" s="180"/>
      <c r="AC63" s="351"/>
      <c r="AD63" s="352"/>
      <c r="AE63" s="352"/>
      <c r="AF63" s="353"/>
    </row>
    <row r="64" spans="1:36" s="119" customFormat="1" ht="19.5" customHeight="1" x14ac:dyDescent="0.15">
      <c r="A64" s="130"/>
      <c r="B64" s="131"/>
      <c r="C64" s="132"/>
      <c r="D64" s="133"/>
      <c r="E64" s="126"/>
      <c r="F64" s="134"/>
      <c r="G64" s="135"/>
      <c r="H64" s="182" t="s">
        <v>369</v>
      </c>
      <c r="I64" s="183" t="s">
        <v>348</v>
      </c>
      <c r="J64" s="184" t="s">
        <v>360</v>
      </c>
      <c r="K64" s="185"/>
      <c r="L64" s="186"/>
      <c r="M64" s="187" t="s">
        <v>348</v>
      </c>
      <c r="N64" s="184" t="s">
        <v>370</v>
      </c>
      <c r="O64" s="193"/>
      <c r="P64" s="184"/>
      <c r="Q64" s="188"/>
      <c r="R64" s="188"/>
      <c r="S64" s="188"/>
      <c r="T64" s="188"/>
      <c r="U64" s="188"/>
      <c r="V64" s="188"/>
      <c r="W64" s="188"/>
      <c r="X64" s="189"/>
      <c r="Y64" s="136" t="s">
        <v>348</v>
      </c>
      <c r="Z64" s="124" t="s">
        <v>215</v>
      </c>
      <c r="AA64" s="124"/>
      <c r="AB64" s="139"/>
      <c r="AC64" s="311"/>
      <c r="AD64" s="312"/>
      <c r="AE64" s="312"/>
      <c r="AF64" s="313"/>
      <c r="AG64" s="119" t="str">
        <f>"ser_code = '" &amp; IF(A70="■",14,"") &amp; "'"</f>
        <v>ser_code = ''</v>
      </c>
      <c r="AI64" s="119" t="str">
        <f>"14:field223:" &amp; IF(I64="■",1,IF(M64="■",2,0))</f>
        <v>14:field223:0</v>
      </c>
      <c r="AJ64" s="119" t="str">
        <f>"14:field203:" &amp; IF(Y64="■",1,IF(Y65="■",2,0))</f>
        <v>14:field203:0</v>
      </c>
    </row>
    <row r="65" spans="1:36" s="119" customFormat="1" ht="19.5" customHeight="1" x14ac:dyDescent="0.15">
      <c r="A65" s="107"/>
      <c r="B65" s="108"/>
      <c r="C65" s="109"/>
      <c r="D65" s="110"/>
      <c r="E65" s="111"/>
      <c r="F65" s="112"/>
      <c r="G65" s="113"/>
      <c r="H65" s="114" t="s">
        <v>390</v>
      </c>
      <c r="I65" s="148" t="s">
        <v>348</v>
      </c>
      <c r="J65" s="149" t="s">
        <v>360</v>
      </c>
      <c r="K65" s="150"/>
      <c r="L65" s="151"/>
      <c r="M65" s="152" t="s">
        <v>348</v>
      </c>
      <c r="N65" s="149" t="s">
        <v>370</v>
      </c>
      <c r="O65" s="153"/>
      <c r="P65" s="149"/>
      <c r="Q65" s="154"/>
      <c r="R65" s="154"/>
      <c r="S65" s="154"/>
      <c r="T65" s="154"/>
      <c r="U65" s="154"/>
      <c r="V65" s="154"/>
      <c r="W65" s="154"/>
      <c r="X65" s="155"/>
      <c r="Y65" s="123" t="s">
        <v>348</v>
      </c>
      <c r="Z65" s="104" t="s">
        <v>221</v>
      </c>
      <c r="AA65" s="105"/>
      <c r="AB65" s="106"/>
      <c r="AC65" s="314"/>
      <c r="AD65" s="315"/>
      <c r="AE65" s="315"/>
      <c r="AF65" s="316"/>
      <c r="AG65" s="119" t="str">
        <f>"14:sisetukbn_code:" &amp; IF(D69="■",1,IF(D70="■",2,IF(D71="■",3,0)))</f>
        <v>14:sisetukbn_code:0</v>
      </c>
      <c r="AI65" s="119" t="str">
        <f>"14:field232:" &amp; IF(I65="■",1,IF(M65="■",2,0))</f>
        <v>14:field232:0</v>
      </c>
    </row>
    <row r="66" spans="1:36" s="119" customFormat="1" ht="19.5" customHeight="1" x14ac:dyDescent="0.15">
      <c r="A66" s="107"/>
      <c r="B66" s="108"/>
      <c r="C66" s="109"/>
      <c r="D66" s="110"/>
      <c r="E66" s="111"/>
      <c r="F66" s="112"/>
      <c r="G66" s="113"/>
      <c r="H66" s="190" t="s">
        <v>127</v>
      </c>
      <c r="I66" s="128" t="s">
        <v>348</v>
      </c>
      <c r="J66" s="115" t="s">
        <v>216</v>
      </c>
      <c r="K66" s="166"/>
      <c r="L66" s="123" t="s">
        <v>348</v>
      </c>
      <c r="M66" s="115" t="s">
        <v>232</v>
      </c>
      <c r="N66" s="115"/>
      <c r="O66" s="115"/>
      <c r="P66" s="115"/>
      <c r="Q66" s="145"/>
      <c r="R66" s="145"/>
      <c r="S66" s="145"/>
      <c r="T66" s="145"/>
      <c r="U66" s="145"/>
      <c r="V66" s="145"/>
      <c r="W66" s="145"/>
      <c r="X66" s="146"/>
      <c r="Y66" s="103"/>
      <c r="Z66" s="104"/>
      <c r="AA66" s="105"/>
      <c r="AB66" s="106"/>
      <c r="AC66" s="314"/>
      <c r="AD66" s="315"/>
      <c r="AE66" s="315"/>
      <c r="AF66" s="316"/>
      <c r="AI66" s="119" t="str">
        <f>"14:tokutiiki_code:" &amp; IF(I66="■",1,IF(L66="■",2,0))</f>
        <v>14:tokutiiki_code:0</v>
      </c>
    </row>
    <row r="67" spans="1:36" s="119" customFormat="1" ht="18.75" customHeight="1" x14ac:dyDescent="0.15">
      <c r="A67" s="107"/>
      <c r="B67" s="108"/>
      <c r="C67" s="109"/>
      <c r="D67" s="110"/>
      <c r="E67" s="111"/>
      <c r="F67" s="112"/>
      <c r="G67" s="113"/>
      <c r="H67" s="329" t="s">
        <v>180</v>
      </c>
      <c r="I67" s="354" t="s">
        <v>348</v>
      </c>
      <c r="J67" s="343" t="s">
        <v>222</v>
      </c>
      <c r="K67" s="343"/>
      <c r="L67" s="343"/>
      <c r="M67" s="342" t="s">
        <v>348</v>
      </c>
      <c r="N67" s="343" t="s">
        <v>223</v>
      </c>
      <c r="O67" s="343"/>
      <c r="P67" s="343"/>
      <c r="Q67" s="168"/>
      <c r="R67" s="168"/>
      <c r="S67" s="168"/>
      <c r="T67" s="168"/>
      <c r="U67" s="168"/>
      <c r="V67" s="168"/>
      <c r="W67" s="168"/>
      <c r="X67" s="169"/>
      <c r="Y67" s="103"/>
      <c r="Z67" s="103"/>
      <c r="AA67" s="103"/>
      <c r="AB67" s="106"/>
      <c r="AC67" s="314"/>
      <c r="AD67" s="315"/>
      <c r="AE67" s="315"/>
      <c r="AF67" s="316"/>
      <c r="AI67" s="119" t="str">
        <f>"14:chuusankanti_tiiki_code:" &amp; IF(I67="■",1,IF(M67="■",2,0))</f>
        <v>14:chuusankanti_tiiki_code:0</v>
      </c>
    </row>
    <row r="68" spans="1:36" s="119" customFormat="1" ht="18.75" customHeight="1" x14ac:dyDescent="0.15">
      <c r="A68" s="107"/>
      <c r="B68" s="108"/>
      <c r="C68" s="109"/>
      <c r="D68" s="110"/>
      <c r="E68" s="111"/>
      <c r="F68" s="112"/>
      <c r="G68" s="113"/>
      <c r="H68" s="328"/>
      <c r="I68" s="355"/>
      <c r="J68" s="333"/>
      <c r="K68" s="333"/>
      <c r="L68" s="333"/>
      <c r="M68" s="331"/>
      <c r="N68" s="333"/>
      <c r="O68" s="333"/>
      <c r="P68" s="333"/>
      <c r="Q68" s="145"/>
      <c r="R68" s="145"/>
      <c r="S68" s="145"/>
      <c r="T68" s="145"/>
      <c r="U68" s="145"/>
      <c r="V68" s="145"/>
      <c r="W68" s="145"/>
      <c r="X68" s="146"/>
      <c r="Y68" s="147"/>
      <c r="Z68" s="105"/>
      <c r="AA68" s="105"/>
      <c r="AB68" s="106"/>
      <c r="AC68" s="314"/>
      <c r="AD68" s="315"/>
      <c r="AE68" s="315"/>
      <c r="AF68" s="316"/>
    </row>
    <row r="69" spans="1:36" s="119" customFormat="1" ht="18.75" customHeight="1" x14ac:dyDescent="0.15">
      <c r="A69" s="107"/>
      <c r="B69" s="108"/>
      <c r="C69" s="109"/>
      <c r="D69" s="123" t="s">
        <v>348</v>
      </c>
      <c r="E69" s="111" t="s">
        <v>243</v>
      </c>
      <c r="F69" s="112"/>
      <c r="G69" s="113"/>
      <c r="H69" s="329" t="s">
        <v>181</v>
      </c>
      <c r="I69" s="354" t="s">
        <v>348</v>
      </c>
      <c r="J69" s="343" t="s">
        <v>222</v>
      </c>
      <c r="K69" s="343"/>
      <c r="L69" s="343"/>
      <c r="M69" s="342" t="s">
        <v>348</v>
      </c>
      <c r="N69" s="343" t="s">
        <v>223</v>
      </c>
      <c r="O69" s="343"/>
      <c r="P69" s="343"/>
      <c r="Q69" s="168"/>
      <c r="R69" s="168"/>
      <c r="S69" s="168"/>
      <c r="T69" s="168"/>
      <c r="U69" s="168"/>
      <c r="V69" s="168"/>
      <c r="W69" s="168"/>
      <c r="X69" s="169"/>
      <c r="Y69" s="147"/>
      <c r="Z69" s="105"/>
      <c r="AA69" s="105"/>
      <c r="AB69" s="106"/>
      <c r="AC69" s="314"/>
      <c r="AD69" s="315"/>
      <c r="AE69" s="315"/>
      <c r="AF69" s="316"/>
      <c r="AI69" s="119" t="str">
        <f>"14:chuusankanti_kibo_code:" &amp; IF(I69="■",1,IF(M69="■",2,0))</f>
        <v>14:chuusankanti_kibo_code:0</v>
      </c>
    </row>
    <row r="70" spans="1:36" s="119" customFormat="1" ht="18.75" customHeight="1" x14ac:dyDescent="0.15">
      <c r="A70" s="128" t="s">
        <v>348</v>
      </c>
      <c r="B70" s="108">
        <v>14</v>
      </c>
      <c r="C70" s="109" t="s">
        <v>91</v>
      </c>
      <c r="D70" s="123" t="s">
        <v>348</v>
      </c>
      <c r="E70" s="111" t="s">
        <v>244</v>
      </c>
      <c r="F70" s="112"/>
      <c r="G70" s="113"/>
      <c r="H70" s="328"/>
      <c r="I70" s="355"/>
      <c r="J70" s="333"/>
      <c r="K70" s="333"/>
      <c r="L70" s="333"/>
      <c r="M70" s="331"/>
      <c r="N70" s="333"/>
      <c r="O70" s="333"/>
      <c r="P70" s="333"/>
      <c r="Q70" s="145"/>
      <c r="R70" s="145"/>
      <c r="S70" s="145"/>
      <c r="T70" s="145"/>
      <c r="U70" s="145"/>
      <c r="V70" s="145"/>
      <c r="W70" s="145"/>
      <c r="X70" s="146"/>
      <c r="Y70" s="147"/>
      <c r="Z70" s="105"/>
      <c r="AA70" s="105"/>
      <c r="AB70" s="106"/>
      <c r="AC70" s="314"/>
      <c r="AD70" s="315"/>
      <c r="AE70" s="315"/>
      <c r="AF70" s="316"/>
    </row>
    <row r="71" spans="1:36" s="119" customFormat="1" ht="19.5" customHeight="1" x14ac:dyDescent="0.15">
      <c r="A71" s="107"/>
      <c r="B71" s="108"/>
      <c r="C71" s="109"/>
      <c r="D71" s="123" t="s">
        <v>348</v>
      </c>
      <c r="E71" s="111" t="s">
        <v>245</v>
      </c>
      <c r="F71" s="112"/>
      <c r="G71" s="113"/>
      <c r="H71" s="204" t="s">
        <v>141</v>
      </c>
      <c r="I71" s="194" t="s">
        <v>348</v>
      </c>
      <c r="J71" s="160" t="s">
        <v>216</v>
      </c>
      <c r="K71" s="160"/>
      <c r="L71" s="205"/>
      <c r="M71" s="195" t="s">
        <v>348</v>
      </c>
      <c r="N71" s="160" t="s">
        <v>403</v>
      </c>
      <c r="O71" s="206"/>
      <c r="P71" s="207"/>
      <c r="Q71" s="208" t="s">
        <v>348</v>
      </c>
      <c r="R71" s="209" t="s">
        <v>404</v>
      </c>
      <c r="S71" s="209"/>
      <c r="T71" s="209"/>
      <c r="U71" s="210"/>
      <c r="V71" s="209"/>
      <c r="W71" s="209"/>
      <c r="X71" s="211"/>
      <c r="Y71" s="147"/>
      <c r="Z71" s="105"/>
      <c r="AA71" s="105"/>
      <c r="AB71" s="106"/>
      <c r="AC71" s="314"/>
      <c r="AD71" s="315"/>
      <c r="AE71" s="315"/>
      <c r="AF71" s="316"/>
      <c r="AI71" s="119" t="str">
        <f>"14:field149:" &amp; IF(I71="■",1,IF(Q71="■",6,IF(M71="■",3,0)))</f>
        <v>14:field149:0</v>
      </c>
    </row>
    <row r="72" spans="1:36" s="119" customFormat="1" ht="19.5" customHeight="1" x14ac:dyDescent="0.15">
      <c r="A72" s="107"/>
      <c r="B72" s="108"/>
      <c r="C72" s="109"/>
      <c r="D72" s="162"/>
      <c r="E72" s="111"/>
      <c r="F72" s="112"/>
      <c r="G72" s="113"/>
      <c r="H72" s="329" t="s">
        <v>381</v>
      </c>
      <c r="I72" s="344" t="s">
        <v>348</v>
      </c>
      <c r="J72" s="343" t="s">
        <v>216</v>
      </c>
      <c r="K72" s="343"/>
      <c r="L72" s="348" t="s">
        <v>348</v>
      </c>
      <c r="M72" s="343" t="s">
        <v>232</v>
      </c>
      <c r="N72" s="343"/>
      <c r="O72" s="104"/>
      <c r="P72" s="212"/>
      <c r="Q72" s="212"/>
      <c r="R72" s="212"/>
      <c r="S72" s="103"/>
      <c r="T72" s="103"/>
      <c r="U72" s="212"/>
      <c r="V72" s="212"/>
      <c r="W72" s="103"/>
      <c r="X72" s="165"/>
      <c r="Y72" s="147"/>
      <c r="Z72" s="105"/>
      <c r="AA72" s="105"/>
      <c r="AB72" s="106"/>
      <c r="AC72" s="314"/>
      <c r="AD72" s="315"/>
      <c r="AE72" s="315"/>
      <c r="AF72" s="316"/>
      <c r="AI72" s="119" t="str">
        <f>"14:field239:" &amp; IF(I72="■",1,IF(L72="■",2,0))</f>
        <v>14:field239:0</v>
      </c>
    </row>
    <row r="73" spans="1:36" s="119" customFormat="1" ht="19.5" customHeight="1" x14ac:dyDescent="0.15">
      <c r="A73" s="107"/>
      <c r="B73" s="108"/>
      <c r="C73" s="109"/>
      <c r="D73" s="162"/>
      <c r="E73" s="111"/>
      <c r="F73" s="112"/>
      <c r="G73" s="113"/>
      <c r="H73" s="328"/>
      <c r="I73" s="345"/>
      <c r="J73" s="333"/>
      <c r="K73" s="333"/>
      <c r="L73" s="349"/>
      <c r="M73" s="333"/>
      <c r="N73" s="333"/>
      <c r="O73" s="104"/>
      <c r="P73" s="212"/>
      <c r="Q73" s="144"/>
      <c r="R73" s="144"/>
      <c r="S73" s="103"/>
      <c r="T73" s="103"/>
      <c r="U73" s="144"/>
      <c r="V73" s="144"/>
      <c r="W73" s="103"/>
      <c r="X73" s="165"/>
      <c r="Y73" s="147"/>
      <c r="Z73" s="105"/>
      <c r="AA73" s="105"/>
      <c r="AB73" s="106"/>
      <c r="AC73" s="314"/>
      <c r="AD73" s="315"/>
      <c r="AE73" s="315"/>
      <c r="AF73" s="316"/>
    </row>
    <row r="74" spans="1:36" s="119" customFormat="1" ht="19.5" customHeight="1" x14ac:dyDescent="0.15">
      <c r="A74" s="107"/>
      <c r="B74" s="108"/>
      <c r="C74" s="109"/>
      <c r="D74" s="110"/>
      <c r="E74" s="111"/>
      <c r="F74" s="112"/>
      <c r="G74" s="113"/>
      <c r="H74" s="114" t="s">
        <v>372</v>
      </c>
      <c r="I74" s="148" t="s">
        <v>348</v>
      </c>
      <c r="J74" s="149" t="s">
        <v>216</v>
      </c>
      <c r="K74" s="149"/>
      <c r="L74" s="152" t="s">
        <v>348</v>
      </c>
      <c r="M74" s="149" t="s">
        <v>232</v>
      </c>
      <c r="N74" s="149"/>
      <c r="O74" s="154"/>
      <c r="P74" s="149"/>
      <c r="Q74" s="154"/>
      <c r="R74" s="154"/>
      <c r="S74" s="154"/>
      <c r="T74" s="154"/>
      <c r="U74" s="154"/>
      <c r="V74" s="154"/>
      <c r="W74" s="154"/>
      <c r="X74" s="155"/>
      <c r="Y74" s="105"/>
      <c r="Z74" s="105"/>
      <c r="AA74" s="105"/>
      <c r="AB74" s="106"/>
      <c r="AC74" s="314"/>
      <c r="AD74" s="315"/>
      <c r="AE74" s="315"/>
      <c r="AF74" s="316"/>
      <c r="AI74" s="119" t="str">
        <f>"14:field224:" &amp; IF(I74="■",1,IF(L74="■",2,0))</f>
        <v>14:field224:0</v>
      </c>
    </row>
    <row r="75" spans="1:36" s="119" customFormat="1" ht="19.5" customHeight="1" x14ac:dyDescent="0.15">
      <c r="A75" s="107"/>
      <c r="B75" s="108"/>
      <c r="C75" s="109"/>
      <c r="D75" s="110"/>
      <c r="E75" s="111"/>
      <c r="F75" s="112"/>
      <c r="G75" s="113"/>
      <c r="H75" s="157" t="s">
        <v>197</v>
      </c>
      <c r="I75" s="194" t="s">
        <v>348</v>
      </c>
      <c r="J75" s="149" t="s">
        <v>216</v>
      </c>
      <c r="K75" s="150"/>
      <c r="L75" s="152" t="s">
        <v>348</v>
      </c>
      <c r="M75" s="149" t="s">
        <v>232</v>
      </c>
      <c r="N75" s="149"/>
      <c r="O75" s="154"/>
      <c r="P75" s="154"/>
      <c r="Q75" s="154"/>
      <c r="R75" s="154"/>
      <c r="S75" s="154"/>
      <c r="T75" s="154"/>
      <c r="U75" s="154"/>
      <c r="V75" s="154"/>
      <c r="W75" s="154"/>
      <c r="X75" s="155"/>
      <c r="Y75" s="147"/>
      <c r="Z75" s="105"/>
      <c r="AA75" s="105"/>
      <c r="AB75" s="106"/>
      <c r="AC75" s="314"/>
      <c r="AD75" s="315"/>
      <c r="AE75" s="315"/>
      <c r="AF75" s="316"/>
      <c r="AI75" s="119" t="str">
        <f>"14:field150:" &amp; IF(I75="■",1,IF(L75="■",2,0))</f>
        <v>14:field150:0</v>
      </c>
    </row>
    <row r="76" spans="1:36" s="119" customFormat="1" ht="19.5" customHeight="1" x14ac:dyDescent="0.15">
      <c r="A76" s="170"/>
      <c r="B76" s="171"/>
      <c r="C76" s="172"/>
      <c r="D76" s="173"/>
      <c r="E76" s="174"/>
      <c r="F76" s="175"/>
      <c r="G76" s="176"/>
      <c r="H76" s="95" t="s">
        <v>138</v>
      </c>
      <c r="I76" s="177" t="s">
        <v>348</v>
      </c>
      <c r="J76" s="96" t="s">
        <v>216</v>
      </c>
      <c r="K76" s="96"/>
      <c r="L76" s="178" t="s">
        <v>348</v>
      </c>
      <c r="M76" s="96" t="s">
        <v>233</v>
      </c>
      <c r="N76" s="96"/>
      <c r="O76" s="178" t="s">
        <v>348</v>
      </c>
      <c r="P76" s="96" t="s">
        <v>242</v>
      </c>
      <c r="Q76" s="100"/>
      <c r="R76" s="100"/>
      <c r="S76" s="100"/>
      <c r="T76" s="100"/>
      <c r="U76" s="100"/>
      <c r="V76" s="100"/>
      <c r="W76" s="100"/>
      <c r="X76" s="101"/>
      <c r="Y76" s="181"/>
      <c r="Z76" s="179"/>
      <c r="AA76" s="179"/>
      <c r="AB76" s="180"/>
      <c r="AC76" s="351"/>
      <c r="AD76" s="352"/>
      <c r="AE76" s="352"/>
      <c r="AF76" s="353"/>
      <c r="AI76" s="119" t="str">
        <f>"14:serteikyo_kyoka_code:" &amp; IF(I76="■",1,IF(L76="■",3,IF(O76="■",4,0)))</f>
        <v>14:serteikyo_kyoka_code:0</v>
      </c>
    </row>
    <row r="77" spans="1:36" s="119" customFormat="1" ht="18.75" customHeight="1" x14ac:dyDescent="0.15">
      <c r="A77" s="130"/>
      <c r="B77" s="131"/>
      <c r="C77" s="132"/>
      <c r="D77" s="133"/>
      <c r="E77" s="213"/>
      <c r="F77" s="133"/>
      <c r="G77" s="131"/>
      <c r="H77" s="214" t="s">
        <v>127</v>
      </c>
      <c r="I77" s="183" t="s">
        <v>348</v>
      </c>
      <c r="J77" s="184" t="s">
        <v>216</v>
      </c>
      <c r="K77" s="185"/>
      <c r="L77" s="187" t="s">
        <v>348</v>
      </c>
      <c r="M77" s="184" t="s">
        <v>232</v>
      </c>
      <c r="N77" s="184"/>
      <c r="O77" s="184"/>
      <c r="P77" s="184"/>
      <c r="Q77" s="188"/>
      <c r="R77" s="188"/>
      <c r="S77" s="188"/>
      <c r="T77" s="188"/>
      <c r="U77" s="188"/>
      <c r="V77" s="188"/>
      <c r="W77" s="188"/>
      <c r="X77" s="189"/>
      <c r="Y77" s="136" t="s">
        <v>348</v>
      </c>
      <c r="Z77" s="124" t="s">
        <v>215</v>
      </c>
      <c r="AA77" s="124"/>
      <c r="AB77" s="139"/>
      <c r="AC77" s="311"/>
      <c r="AD77" s="312"/>
      <c r="AE77" s="312"/>
      <c r="AF77" s="313"/>
      <c r="AG77" s="119" t="str">
        <f>"ser_code = '" &amp; IF(A80="■",31,"") &amp; "'"</f>
        <v>ser_code = ''</v>
      </c>
      <c r="AI77" s="119" t="str">
        <f>"31:tokutiiki_code:" &amp; IF(I77="■",1,IF(L77="■",2,0))</f>
        <v>31:tokutiiki_code:0</v>
      </c>
      <c r="AJ77" s="119" t="str">
        <f>"31:field203:" &amp; IF(Y77="■",1,IF(Y78="■",2,0))</f>
        <v>31:field203:0</v>
      </c>
    </row>
    <row r="78" spans="1:36" s="119" customFormat="1" ht="18.75" customHeight="1" x14ac:dyDescent="0.15">
      <c r="A78" s="164"/>
      <c r="B78" s="108"/>
      <c r="C78" s="109"/>
      <c r="D78" s="110"/>
      <c r="E78" s="165"/>
      <c r="F78" s="110"/>
      <c r="G78" s="108"/>
      <c r="H78" s="329" t="s">
        <v>180</v>
      </c>
      <c r="I78" s="342" t="s">
        <v>348</v>
      </c>
      <c r="J78" s="343" t="s">
        <v>222</v>
      </c>
      <c r="K78" s="343"/>
      <c r="L78" s="343"/>
      <c r="M78" s="342" t="s">
        <v>348</v>
      </c>
      <c r="N78" s="343" t="s">
        <v>223</v>
      </c>
      <c r="O78" s="343"/>
      <c r="P78" s="343"/>
      <c r="Q78" s="168"/>
      <c r="R78" s="168"/>
      <c r="S78" s="168"/>
      <c r="T78" s="168"/>
      <c r="U78" s="168"/>
      <c r="V78" s="168"/>
      <c r="W78" s="168"/>
      <c r="X78" s="169"/>
      <c r="Y78" s="123" t="s">
        <v>348</v>
      </c>
      <c r="Z78" s="104" t="s">
        <v>221</v>
      </c>
      <c r="AA78" s="104"/>
      <c r="AB78" s="106"/>
      <c r="AC78" s="314"/>
      <c r="AD78" s="315"/>
      <c r="AE78" s="315"/>
      <c r="AF78" s="316"/>
      <c r="AI78" s="119" t="str">
        <f>"31:chuusankanti_tiiki_code:" &amp; IF(I78="■",1,IF(M78="■",2,0))</f>
        <v>31:chuusankanti_tiiki_code:0</v>
      </c>
    </row>
    <row r="79" spans="1:36" s="119" customFormat="1" ht="18.75" customHeight="1" x14ac:dyDescent="0.15">
      <c r="A79" s="164"/>
      <c r="B79" s="108"/>
      <c r="C79" s="109"/>
      <c r="D79" s="110"/>
      <c r="E79" s="165"/>
      <c r="F79" s="110"/>
      <c r="G79" s="108"/>
      <c r="H79" s="328"/>
      <c r="I79" s="331"/>
      <c r="J79" s="333"/>
      <c r="K79" s="333"/>
      <c r="L79" s="333"/>
      <c r="M79" s="331"/>
      <c r="N79" s="333"/>
      <c r="O79" s="333"/>
      <c r="P79" s="333"/>
      <c r="Q79" s="145"/>
      <c r="R79" s="145"/>
      <c r="S79" s="145"/>
      <c r="T79" s="145"/>
      <c r="U79" s="145"/>
      <c r="V79" s="145"/>
      <c r="W79" s="145"/>
      <c r="X79" s="146"/>
      <c r="Y79" s="147"/>
      <c r="Z79" s="105"/>
      <c r="AA79" s="105"/>
      <c r="AB79" s="106"/>
      <c r="AC79" s="314"/>
      <c r="AD79" s="315"/>
      <c r="AE79" s="315"/>
      <c r="AF79" s="316"/>
    </row>
    <row r="80" spans="1:36" s="119" customFormat="1" ht="18.75" customHeight="1" x14ac:dyDescent="0.15">
      <c r="A80" s="128" t="s">
        <v>348</v>
      </c>
      <c r="B80" s="108">
        <v>31</v>
      </c>
      <c r="C80" s="109" t="s">
        <v>130</v>
      </c>
      <c r="D80" s="110"/>
      <c r="E80" s="165"/>
      <c r="F80" s="110"/>
      <c r="G80" s="108"/>
      <c r="H80" s="329" t="s">
        <v>181</v>
      </c>
      <c r="I80" s="354" t="s">
        <v>348</v>
      </c>
      <c r="J80" s="343" t="s">
        <v>222</v>
      </c>
      <c r="K80" s="343"/>
      <c r="L80" s="343"/>
      <c r="M80" s="342" t="s">
        <v>348</v>
      </c>
      <c r="N80" s="343" t="s">
        <v>223</v>
      </c>
      <c r="O80" s="343"/>
      <c r="P80" s="343"/>
      <c r="Q80" s="168"/>
      <c r="R80" s="168"/>
      <c r="S80" s="168"/>
      <c r="T80" s="168"/>
      <c r="U80" s="168"/>
      <c r="V80" s="168"/>
      <c r="W80" s="168"/>
      <c r="X80" s="169"/>
      <c r="Y80" s="147"/>
      <c r="Z80" s="105"/>
      <c r="AA80" s="105"/>
      <c r="AB80" s="106"/>
      <c r="AC80" s="314"/>
      <c r="AD80" s="315"/>
      <c r="AE80" s="315"/>
      <c r="AF80" s="316"/>
      <c r="AI80" s="119" t="str">
        <f>"31:chuusankanti_kibo_code:" &amp; IF(I80="■",1,IF(M80="■",2,0))</f>
        <v>31:chuusankanti_kibo_code:0</v>
      </c>
    </row>
    <row r="81" spans="1:37" s="119" customFormat="1" ht="18.75" customHeight="1" x14ac:dyDescent="0.15">
      <c r="A81" s="107"/>
      <c r="B81" s="108"/>
      <c r="C81" s="109"/>
      <c r="D81" s="110"/>
      <c r="E81" s="165"/>
      <c r="F81" s="110"/>
      <c r="G81" s="108"/>
      <c r="H81" s="328"/>
      <c r="I81" s="355"/>
      <c r="J81" s="333"/>
      <c r="K81" s="333"/>
      <c r="L81" s="333"/>
      <c r="M81" s="331"/>
      <c r="N81" s="333"/>
      <c r="O81" s="333"/>
      <c r="P81" s="333"/>
      <c r="Q81" s="145"/>
      <c r="R81" s="145"/>
      <c r="S81" s="145"/>
      <c r="T81" s="145"/>
      <c r="U81" s="145"/>
      <c r="V81" s="145"/>
      <c r="W81" s="145"/>
      <c r="X81" s="146"/>
      <c r="Y81" s="147"/>
      <c r="Z81" s="105"/>
      <c r="AA81" s="105"/>
      <c r="AB81" s="106"/>
      <c r="AC81" s="314"/>
      <c r="AD81" s="315"/>
      <c r="AE81" s="315"/>
      <c r="AF81" s="316"/>
    </row>
    <row r="82" spans="1:37" s="119" customFormat="1" ht="18.75" customHeight="1" x14ac:dyDescent="0.15">
      <c r="A82" s="107"/>
      <c r="B82" s="108"/>
      <c r="C82" s="109"/>
      <c r="D82" s="110"/>
      <c r="E82" s="165"/>
      <c r="F82" s="110"/>
      <c r="G82" s="108"/>
      <c r="H82" s="215" t="s">
        <v>382</v>
      </c>
      <c r="I82" s="128" t="s">
        <v>348</v>
      </c>
      <c r="J82" s="115" t="s">
        <v>216</v>
      </c>
      <c r="K82" s="166"/>
      <c r="L82" s="191" t="s">
        <v>348</v>
      </c>
      <c r="M82" s="115" t="s">
        <v>232</v>
      </c>
      <c r="N82" s="115"/>
      <c r="O82" s="115"/>
      <c r="P82" s="115"/>
      <c r="Q82" s="145"/>
      <c r="R82" s="145"/>
      <c r="S82" s="145"/>
      <c r="T82" s="145"/>
      <c r="U82" s="145"/>
      <c r="V82" s="145"/>
      <c r="W82" s="145"/>
      <c r="X82" s="146"/>
      <c r="Y82" s="147"/>
      <c r="Z82" s="105"/>
      <c r="AA82" s="105"/>
      <c r="AB82" s="106"/>
      <c r="AC82" s="314"/>
      <c r="AD82" s="315"/>
      <c r="AE82" s="315"/>
      <c r="AF82" s="316"/>
      <c r="AI82" s="119" t="str">
        <f>"31:field240:" &amp; IF(I82="■",1,IF(L82="■",2,0))</f>
        <v>31:field240:0</v>
      </c>
    </row>
    <row r="83" spans="1:37" s="119" customFormat="1" ht="18.75" customHeight="1" x14ac:dyDescent="0.15">
      <c r="A83" s="170"/>
      <c r="B83" s="171"/>
      <c r="C83" s="172"/>
      <c r="D83" s="173"/>
      <c r="E83" s="216"/>
      <c r="F83" s="173"/>
      <c r="G83" s="171"/>
      <c r="H83" s="217" t="s">
        <v>383</v>
      </c>
      <c r="I83" s="177" t="s">
        <v>348</v>
      </c>
      <c r="J83" s="96" t="s">
        <v>216</v>
      </c>
      <c r="K83" s="218"/>
      <c r="L83" s="178" t="s">
        <v>348</v>
      </c>
      <c r="M83" s="96" t="s">
        <v>232</v>
      </c>
      <c r="N83" s="99"/>
      <c r="O83" s="99"/>
      <c r="P83" s="99"/>
      <c r="Q83" s="202"/>
      <c r="R83" s="202"/>
      <c r="S83" s="202"/>
      <c r="T83" s="202"/>
      <c r="U83" s="202"/>
      <c r="V83" s="202"/>
      <c r="W83" s="202"/>
      <c r="X83" s="203"/>
      <c r="Y83" s="219"/>
      <c r="Z83" s="99"/>
      <c r="AA83" s="99"/>
      <c r="AB83" s="180"/>
      <c r="AC83" s="351"/>
      <c r="AD83" s="352"/>
      <c r="AE83" s="352"/>
      <c r="AF83" s="353"/>
      <c r="AI83" s="119" t="str">
        <f>"31:field241:" &amp; IF(I83="■",1,IF(L83="■",2,0))</f>
        <v>31:field241:0</v>
      </c>
    </row>
    <row r="84" spans="1:37" s="119" customFormat="1" ht="18.75" customHeight="1" x14ac:dyDescent="0.15">
      <c r="A84" s="130"/>
      <c r="B84" s="131"/>
      <c r="C84" s="220"/>
      <c r="D84" s="134"/>
      <c r="E84" s="126"/>
      <c r="F84" s="134"/>
      <c r="G84" s="135"/>
      <c r="H84" s="221" t="s">
        <v>92</v>
      </c>
      <c r="I84" s="183" t="s">
        <v>348</v>
      </c>
      <c r="J84" s="184" t="s">
        <v>216</v>
      </c>
      <c r="K84" s="184"/>
      <c r="L84" s="186"/>
      <c r="M84" s="187" t="s">
        <v>348</v>
      </c>
      <c r="N84" s="184" t="s">
        <v>246</v>
      </c>
      <c r="O84" s="184"/>
      <c r="P84" s="186"/>
      <c r="Q84" s="187" t="s">
        <v>348</v>
      </c>
      <c r="R84" s="222" t="s">
        <v>247</v>
      </c>
      <c r="S84" s="222"/>
      <c r="T84" s="222"/>
      <c r="U84" s="222"/>
      <c r="V84" s="222"/>
      <c r="W84" s="222"/>
      <c r="X84" s="223"/>
      <c r="Y84" s="140" t="s">
        <v>348</v>
      </c>
      <c r="Z84" s="124" t="s">
        <v>215</v>
      </c>
      <c r="AA84" s="124"/>
      <c r="AB84" s="139"/>
      <c r="AC84" s="140" t="s">
        <v>348</v>
      </c>
      <c r="AD84" s="124" t="s">
        <v>215</v>
      </c>
      <c r="AE84" s="124"/>
      <c r="AF84" s="139"/>
      <c r="AG84" s="119" t="str">
        <f>"ser_code = '" &amp; IF(A98="■",15,"") &amp; "'"</f>
        <v>ser_code = ''</v>
      </c>
      <c r="AI84" s="119" t="str">
        <f>"15:"&amp;IF(AND(I84="□",M84="□",Q84="□"),"ketu_kangos_code:0",IF(I84="■","ketu_kangos_code:1:ketu_kshoku_code:1",IF(M84="■","ketu_kangos_code:2","ketu_kangos_code:1")&amp;IF(Q84="■",":ketu_kshoku_code:2",":ketu_kshoku_code:1")))</f>
        <v>15:ketu_kangos_code:0</v>
      </c>
      <c r="AJ84" s="119" t="str">
        <f>"15:field203:" &amp; IF(Y84="■",1,IF(Y85="■",2,0))</f>
        <v>15:field203:0</v>
      </c>
      <c r="AK84" s="119" t="str">
        <f>"15:waribiki_code:" &amp; IF(AC84="■",1,IF(AC85="■",2,0))</f>
        <v>15:waribiki_code:0</v>
      </c>
    </row>
    <row r="85" spans="1:37" s="119" customFormat="1" ht="19.5" customHeight="1" x14ac:dyDescent="0.15">
      <c r="A85" s="107"/>
      <c r="B85" s="108"/>
      <c r="C85" s="109"/>
      <c r="D85" s="110"/>
      <c r="E85" s="111"/>
      <c r="F85" s="112"/>
      <c r="G85" s="113"/>
      <c r="H85" s="114" t="s">
        <v>369</v>
      </c>
      <c r="I85" s="148" t="s">
        <v>348</v>
      </c>
      <c r="J85" s="149" t="s">
        <v>360</v>
      </c>
      <c r="K85" s="150"/>
      <c r="L85" s="151"/>
      <c r="M85" s="152" t="s">
        <v>348</v>
      </c>
      <c r="N85" s="149" t="s">
        <v>370</v>
      </c>
      <c r="O85" s="153"/>
      <c r="P85" s="149"/>
      <c r="Q85" s="154"/>
      <c r="R85" s="154"/>
      <c r="S85" s="154"/>
      <c r="T85" s="154"/>
      <c r="U85" s="154"/>
      <c r="V85" s="154"/>
      <c r="W85" s="154"/>
      <c r="X85" s="155"/>
      <c r="Y85" s="123" t="s">
        <v>348</v>
      </c>
      <c r="Z85" s="104" t="s">
        <v>221</v>
      </c>
      <c r="AA85" s="105"/>
      <c r="AB85" s="106"/>
      <c r="AC85" s="128" t="s">
        <v>348</v>
      </c>
      <c r="AD85" s="104" t="s">
        <v>221</v>
      </c>
      <c r="AE85" s="105"/>
      <c r="AF85" s="106"/>
      <c r="AG85" s="119" t="str">
        <f>"15:sisetukbn_code:" &amp; IF(D97="■",4,IF(D98="■",6,IF(D99="■",7,0)))</f>
        <v>15:sisetukbn_code:0</v>
      </c>
      <c r="AI85" s="119" t="str">
        <f>"15:field223:" &amp; IF(I85="■",1,IF(M85="■",2,0))</f>
        <v>15:field223:0</v>
      </c>
    </row>
    <row r="86" spans="1:37" s="119" customFormat="1" ht="19.5" customHeight="1" x14ac:dyDescent="0.15">
      <c r="A86" s="107"/>
      <c r="B86" s="108"/>
      <c r="C86" s="109"/>
      <c r="D86" s="110"/>
      <c r="E86" s="111"/>
      <c r="F86" s="112"/>
      <c r="G86" s="113"/>
      <c r="H86" s="114" t="s">
        <v>390</v>
      </c>
      <c r="I86" s="148" t="s">
        <v>348</v>
      </c>
      <c r="J86" s="149" t="s">
        <v>360</v>
      </c>
      <c r="K86" s="150"/>
      <c r="L86" s="151"/>
      <c r="M86" s="152" t="s">
        <v>348</v>
      </c>
      <c r="N86" s="149" t="s">
        <v>370</v>
      </c>
      <c r="O86" s="149"/>
      <c r="P86" s="149"/>
      <c r="Q86" s="154"/>
      <c r="R86" s="154"/>
      <c r="S86" s="154"/>
      <c r="T86" s="154"/>
      <c r="U86" s="154"/>
      <c r="V86" s="154"/>
      <c r="W86" s="154"/>
      <c r="X86" s="155"/>
      <c r="Y86" s="162"/>
      <c r="Z86" s="104"/>
      <c r="AA86" s="105"/>
      <c r="AB86" s="106"/>
      <c r="AC86" s="164"/>
      <c r="AD86" s="104"/>
      <c r="AE86" s="105"/>
      <c r="AF86" s="106"/>
      <c r="AI86" s="119" t="str">
        <f>"15:field232:" &amp; IF(I86="■",1,IF(M86="■",2,0))</f>
        <v>15:field232:0</v>
      </c>
    </row>
    <row r="87" spans="1:37" s="119" customFormat="1" ht="18.75" customHeight="1" x14ac:dyDescent="0.15">
      <c r="A87" s="107"/>
      <c r="B87" s="108"/>
      <c r="C87" s="224"/>
      <c r="D87" s="112"/>
      <c r="E87" s="111"/>
      <c r="F87" s="112"/>
      <c r="G87" s="113"/>
      <c r="H87" s="329" t="s">
        <v>193</v>
      </c>
      <c r="I87" s="344" t="s">
        <v>348</v>
      </c>
      <c r="J87" s="343" t="s">
        <v>216</v>
      </c>
      <c r="K87" s="343"/>
      <c r="L87" s="348" t="s">
        <v>348</v>
      </c>
      <c r="M87" s="343" t="s">
        <v>232</v>
      </c>
      <c r="N87" s="343"/>
      <c r="O87" s="198"/>
      <c r="P87" s="198"/>
      <c r="Q87" s="198"/>
      <c r="R87" s="198"/>
      <c r="S87" s="198"/>
      <c r="T87" s="198"/>
      <c r="U87" s="198"/>
      <c r="V87" s="198"/>
      <c r="W87" s="198"/>
      <c r="X87" s="199"/>
      <c r="Y87" s="103"/>
      <c r="Z87" s="103"/>
      <c r="AA87" s="103"/>
      <c r="AB87" s="106"/>
      <c r="AC87" s="110"/>
      <c r="AD87" s="103"/>
      <c r="AE87" s="105"/>
      <c r="AF87" s="106"/>
      <c r="AI87" s="119" t="str">
        <f>"15:field204:" &amp; IF(I87="■",1,IF(L87="■",2,0))</f>
        <v>15:field204:0</v>
      </c>
    </row>
    <row r="88" spans="1:37" s="119" customFormat="1" ht="18.75" customHeight="1" x14ac:dyDescent="0.15">
      <c r="A88" s="107"/>
      <c r="B88" s="108"/>
      <c r="C88" s="224"/>
      <c r="D88" s="112"/>
      <c r="E88" s="111"/>
      <c r="F88" s="112"/>
      <c r="G88" s="113"/>
      <c r="H88" s="327"/>
      <c r="I88" s="356"/>
      <c r="J88" s="332"/>
      <c r="K88" s="332"/>
      <c r="L88" s="357"/>
      <c r="M88" s="332"/>
      <c r="N88" s="332"/>
      <c r="O88" s="103"/>
      <c r="P88" s="103"/>
      <c r="Q88" s="103"/>
      <c r="R88" s="103"/>
      <c r="S88" s="103"/>
      <c r="T88" s="103"/>
      <c r="U88" s="103"/>
      <c r="V88" s="103"/>
      <c r="W88" s="103"/>
      <c r="X88" s="165"/>
      <c r="Y88" s="147"/>
      <c r="Z88" s="105"/>
      <c r="AA88" s="105"/>
      <c r="AB88" s="106"/>
      <c r="AC88" s="147"/>
      <c r="AD88" s="105"/>
      <c r="AE88" s="105"/>
      <c r="AF88" s="106"/>
    </row>
    <row r="89" spans="1:37" s="119" customFormat="1" ht="18.75" customHeight="1" x14ac:dyDescent="0.15">
      <c r="A89" s="107"/>
      <c r="B89" s="108"/>
      <c r="C89" s="224"/>
      <c r="D89" s="112"/>
      <c r="E89" s="111"/>
      <c r="F89" s="112"/>
      <c r="G89" s="113"/>
      <c r="H89" s="328"/>
      <c r="I89" s="345"/>
      <c r="J89" s="333"/>
      <c r="K89" s="333"/>
      <c r="L89" s="349"/>
      <c r="M89" s="333"/>
      <c r="N89" s="333"/>
      <c r="O89" s="144"/>
      <c r="P89" s="144"/>
      <c r="Q89" s="144"/>
      <c r="R89" s="144"/>
      <c r="S89" s="144"/>
      <c r="T89" s="144"/>
      <c r="U89" s="144"/>
      <c r="V89" s="144"/>
      <c r="W89" s="144"/>
      <c r="X89" s="226"/>
      <c r="Y89" s="147"/>
      <c r="Z89" s="105"/>
      <c r="AA89" s="105"/>
      <c r="AB89" s="106"/>
      <c r="AC89" s="147"/>
      <c r="AD89" s="105"/>
      <c r="AE89" s="105"/>
      <c r="AF89" s="106"/>
    </row>
    <row r="90" spans="1:37" s="119" customFormat="1" ht="18.75" customHeight="1" x14ac:dyDescent="0.15">
      <c r="A90" s="107"/>
      <c r="B90" s="108"/>
      <c r="C90" s="224"/>
      <c r="D90" s="112"/>
      <c r="E90" s="111"/>
      <c r="F90" s="112"/>
      <c r="G90" s="113"/>
      <c r="H90" s="157" t="s">
        <v>93</v>
      </c>
      <c r="I90" s="123" t="s">
        <v>348</v>
      </c>
      <c r="J90" s="149" t="s">
        <v>230</v>
      </c>
      <c r="K90" s="150"/>
      <c r="L90" s="151"/>
      <c r="M90" s="123" t="s">
        <v>348</v>
      </c>
      <c r="N90" s="149" t="s">
        <v>231</v>
      </c>
      <c r="O90" s="154"/>
      <c r="P90" s="154"/>
      <c r="Q90" s="154"/>
      <c r="R90" s="154"/>
      <c r="S90" s="154"/>
      <c r="T90" s="154"/>
      <c r="U90" s="154"/>
      <c r="V90" s="154"/>
      <c r="W90" s="154"/>
      <c r="X90" s="155"/>
      <c r="Y90" s="147"/>
      <c r="Z90" s="105"/>
      <c r="AA90" s="105"/>
      <c r="AB90" s="106"/>
      <c r="AC90" s="147"/>
      <c r="AD90" s="105"/>
      <c r="AE90" s="105"/>
      <c r="AF90" s="106"/>
      <c r="AI90" s="119" t="str">
        <f>"15:timeser_code:" &amp; IF(I90="■",1,IF(M90="■",2,0))</f>
        <v>15:timeser_code:0</v>
      </c>
    </row>
    <row r="91" spans="1:37" s="119" customFormat="1" ht="18.75" customHeight="1" x14ac:dyDescent="0.15">
      <c r="A91" s="107"/>
      <c r="B91" s="108"/>
      <c r="C91" s="224"/>
      <c r="D91" s="112"/>
      <c r="E91" s="111"/>
      <c r="F91" s="112"/>
      <c r="G91" s="113"/>
      <c r="H91" s="329" t="s">
        <v>144</v>
      </c>
      <c r="I91" s="342" t="s">
        <v>348</v>
      </c>
      <c r="J91" s="343" t="s">
        <v>216</v>
      </c>
      <c r="K91" s="343"/>
      <c r="L91" s="342" t="s">
        <v>348</v>
      </c>
      <c r="M91" s="343" t="s">
        <v>232</v>
      </c>
      <c r="N91" s="343"/>
      <c r="O91" s="160"/>
      <c r="P91" s="160"/>
      <c r="Q91" s="160"/>
      <c r="R91" s="160"/>
      <c r="S91" s="160"/>
      <c r="T91" s="160"/>
      <c r="U91" s="160"/>
      <c r="V91" s="160"/>
      <c r="W91" s="160"/>
      <c r="X91" s="163"/>
      <c r="Y91" s="147"/>
      <c r="Z91" s="105"/>
      <c r="AA91" s="105"/>
      <c r="AB91" s="106"/>
      <c r="AC91" s="147"/>
      <c r="AD91" s="105"/>
      <c r="AE91" s="105"/>
      <c r="AF91" s="106"/>
      <c r="AI91" s="119" t="str">
        <f>"15:field181:" &amp; IF(I91="■",1,IF(L91="■",2,0))</f>
        <v>15:field181:0</v>
      </c>
    </row>
    <row r="92" spans="1:37" s="119" customFormat="1" ht="18.75" customHeight="1" x14ac:dyDescent="0.15">
      <c r="A92" s="107"/>
      <c r="B92" s="108"/>
      <c r="C92" s="224"/>
      <c r="D92" s="112"/>
      <c r="E92" s="111"/>
      <c r="F92" s="112"/>
      <c r="G92" s="113"/>
      <c r="H92" s="328"/>
      <c r="I92" s="331"/>
      <c r="J92" s="333"/>
      <c r="K92" s="333"/>
      <c r="L92" s="331"/>
      <c r="M92" s="333"/>
      <c r="N92" s="333"/>
      <c r="O92" s="115"/>
      <c r="P92" s="115"/>
      <c r="Q92" s="115"/>
      <c r="R92" s="115"/>
      <c r="S92" s="115"/>
      <c r="T92" s="115"/>
      <c r="U92" s="115"/>
      <c r="V92" s="115"/>
      <c r="W92" s="115"/>
      <c r="X92" s="161"/>
      <c r="Y92" s="147"/>
      <c r="Z92" s="105"/>
      <c r="AA92" s="105"/>
      <c r="AB92" s="106"/>
      <c r="AC92" s="147"/>
      <c r="AD92" s="105"/>
      <c r="AE92" s="105"/>
      <c r="AF92" s="106"/>
    </row>
    <row r="93" spans="1:37" s="119" customFormat="1" ht="18.75" customHeight="1" x14ac:dyDescent="0.15">
      <c r="A93" s="107"/>
      <c r="B93" s="108"/>
      <c r="C93" s="224"/>
      <c r="D93" s="112"/>
      <c r="E93" s="111"/>
      <c r="F93" s="112"/>
      <c r="G93" s="113"/>
      <c r="H93" s="329" t="s">
        <v>145</v>
      </c>
      <c r="I93" s="342" t="s">
        <v>348</v>
      </c>
      <c r="J93" s="343" t="s">
        <v>216</v>
      </c>
      <c r="K93" s="343"/>
      <c r="L93" s="342" t="s">
        <v>348</v>
      </c>
      <c r="M93" s="343" t="s">
        <v>232</v>
      </c>
      <c r="N93" s="343"/>
      <c r="O93" s="160"/>
      <c r="P93" s="160"/>
      <c r="Q93" s="160"/>
      <c r="R93" s="160"/>
      <c r="S93" s="160"/>
      <c r="T93" s="160"/>
      <c r="U93" s="160"/>
      <c r="V93" s="160"/>
      <c r="W93" s="160"/>
      <c r="X93" s="163"/>
      <c r="Y93" s="147"/>
      <c r="Z93" s="105"/>
      <c r="AA93" s="105"/>
      <c r="AB93" s="106"/>
      <c r="AC93" s="147"/>
      <c r="AD93" s="105"/>
      <c r="AE93" s="105"/>
      <c r="AF93" s="106"/>
      <c r="AI93" s="119" t="str">
        <f>"15:field182:" &amp; IF(I93="■",1,IF(L93="■",2,0))</f>
        <v>15:field182:0</v>
      </c>
    </row>
    <row r="94" spans="1:37" s="119" customFormat="1" ht="18.75" customHeight="1" x14ac:dyDescent="0.15">
      <c r="A94" s="107"/>
      <c r="B94" s="108"/>
      <c r="C94" s="224"/>
      <c r="D94" s="112"/>
      <c r="E94" s="111"/>
      <c r="F94" s="112"/>
      <c r="G94" s="113"/>
      <c r="H94" s="328"/>
      <c r="I94" s="331"/>
      <c r="J94" s="333"/>
      <c r="K94" s="333"/>
      <c r="L94" s="331"/>
      <c r="M94" s="333"/>
      <c r="N94" s="333"/>
      <c r="O94" s="115"/>
      <c r="P94" s="115"/>
      <c r="Q94" s="115"/>
      <c r="R94" s="115"/>
      <c r="S94" s="115"/>
      <c r="T94" s="115"/>
      <c r="U94" s="115"/>
      <c r="V94" s="115"/>
      <c r="W94" s="115"/>
      <c r="X94" s="161"/>
      <c r="Y94" s="147"/>
      <c r="Z94" s="105"/>
      <c r="AA94" s="105"/>
      <c r="AB94" s="106"/>
      <c r="AC94" s="147"/>
      <c r="AD94" s="105"/>
      <c r="AE94" s="105"/>
      <c r="AF94" s="106"/>
    </row>
    <row r="95" spans="1:37" s="119" customFormat="1" ht="18.75" customHeight="1" x14ac:dyDescent="0.15">
      <c r="A95" s="107"/>
      <c r="B95" s="108"/>
      <c r="C95" s="224"/>
      <c r="D95" s="112"/>
      <c r="E95" s="111"/>
      <c r="F95" s="112"/>
      <c r="G95" s="113"/>
      <c r="H95" s="329" t="s">
        <v>146</v>
      </c>
      <c r="I95" s="342" t="s">
        <v>348</v>
      </c>
      <c r="J95" s="343" t="s">
        <v>216</v>
      </c>
      <c r="K95" s="343"/>
      <c r="L95" s="342" t="s">
        <v>348</v>
      </c>
      <c r="M95" s="343" t="s">
        <v>232</v>
      </c>
      <c r="N95" s="343"/>
      <c r="O95" s="160"/>
      <c r="P95" s="160"/>
      <c r="Q95" s="160"/>
      <c r="R95" s="160"/>
      <c r="S95" s="160"/>
      <c r="T95" s="160"/>
      <c r="U95" s="160"/>
      <c r="V95" s="160"/>
      <c r="W95" s="160"/>
      <c r="X95" s="163"/>
      <c r="Y95" s="147"/>
      <c r="Z95" s="105"/>
      <c r="AA95" s="105"/>
      <c r="AB95" s="106"/>
      <c r="AC95" s="147"/>
      <c r="AD95" s="105"/>
      <c r="AE95" s="105"/>
      <c r="AF95" s="106"/>
      <c r="AI95" s="119" t="str">
        <f>"15:field183:" &amp; IF(I95="■",1,IF(L95="■",2,0))</f>
        <v>15:field183:0</v>
      </c>
    </row>
    <row r="96" spans="1:37" s="119" customFormat="1" ht="18.75" customHeight="1" x14ac:dyDescent="0.15">
      <c r="A96" s="107"/>
      <c r="B96" s="108"/>
      <c r="C96" s="224"/>
      <c r="D96" s="112"/>
      <c r="E96" s="111"/>
      <c r="F96" s="112"/>
      <c r="G96" s="113"/>
      <c r="H96" s="328"/>
      <c r="I96" s="331"/>
      <c r="J96" s="333"/>
      <c r="K96" s="333"/>
      <c r="L96" s="331"/>
      <c r="M96" s="333"/>
      <c r="N96" s="333"/>
      <c r="O96" s="115"/>
      <c r="P96" s="115"/>
      <c r="Q96" s="115"/>
      <c r="R96" s="115"/>
      <c r="S96" s="115"/>
      <c r="T96" s="115"/>
      <c r="U96" s="115"/>
      <c r="V96" s="115"/>
      <c r="W96" s="115"/>
      <c r="X96" s="161"/>
      <c r="Y96" s="147"/>
      <c r="Z96" s="105"/>
      <c r="AA96" s="105"/>
      <c r="AB96" s="106"/>
      <c r="AC96" s="147"/>
      <c r="AD96" s="105"/>
      <c r="AE96" s="105"/>
      <c r="AF96" s="106"/>
    </row>
    <row r="97" spans="1:36" s="119" customFormat="1" ht="18.75" customHeight="1" x14ac:dyDescent="0.15">
      <c r="A97" s="107"/>
      <c r="B97" s="108"/>
      <c r="C97" s="224"/>
      <c r="D97" s="123" t="s">
        <v>348</v>
      </c>
      <c r="E97" s="111" t="s">
        <v>251</v>
      </c>
      <c r="F97" s="112"/>
      <c r="G97" s="113"/>
      <c r="H97" s="329" t="s">
        <v>147</v>
      </c>
      <c r="I97" s="342" t="s">
        <v>348</v>
      </c>
      <c r="J97" s="343" t="s">
        <v>216</v>
      </c>
      <c r="K97" s="343"/>
      <c r="L97" s="342" t="s">
        <v>348</v>
      </c>
      <c r="M97" s="343" t="s">
        <v>232</v>
      </c>
      <c r="N97" s="343"/>
      <c r="O97" s="160"/>
      <c r="P97" s="160"/>
      <c r="Q97" s="160"/>
      <c r="R97" s="160"/>
      <c r="S97" s="160"/>
      <c r="T97" s="160"/>
      <c r="U97" s="160"/>
      <c r="V97" s="160"/>
      <c r="W97" s="160"/>
      <c r="X97" s="163"/>
      <c r="Y97" s="147"/>
      <c r="Z97" s="105"/>
      <c r="AA97" s="105"/>
      <c r="AB97" s="106"/>
      <c r="AC97" s="147"/>
      <c r="AD97" s="105"/>
      <c r="AE97" s="105"/>
      <c r="AF97" s="106"/>
      <c r="AI97" s="119" t="str">
        <f>"15:field184:" &amp; IF(I97="■",1,IF(L97="■",2,0))</f>
        <v>15:field184:0</v>
      </c>
    </row>
    <row r="98" spans="1:36" s="119" customFormat="1" ht="18.75" customHeight="1" x14ac:dyDescent="0.15">
      <c r="A98" s="128" t="s">
        <v>348</v>
      </c>
      <c r="B98" s="108">
        <v>15</v>
      </c>
      <c r="C98" s="224" t="s">
        <v>5</v>
      </c>
      <c r="D98" s="123" t="s">
        <v>348</v>
      </c>
      <c r="E98" s="111" t="s">
        <v>252</v>
      </c>
      <c r="F98" s="112"/>
      <c r="G98" s="113"/>
      <c r="H98" s="328"/>
      <c r="I98" s="331"/>
      <c r="J98" s="333"/>
      <c r="K98" s="333"/>
      <c r="L98" s="331"/>
      <c r="M98" s="333"/>
      <c r="N98" s="333"/>
      <c r="O98" s="115"/>
      <c r="P98" s="115"/>
      <c r="Q98" s="115"/>
      <c r="R98" s="115"/>
      <c r="S98" s="115"/>
      <c r="T98" s="115"/>
      <c r="U98" s="115"/>
      <c r="V98" s="115"/>
      <c r="W98" s="115"/>
      <c r="X98" s="161"/>
      <c r="Y98" s="147"/>
      <c r="Z98" s="105"/>
      <c r="AA98" s="105"/>
      <c r="AB98" s="106"/>
      <c r="AC98" s="147"/>
      <c r="AD98" s="105"/>
      <c r="AE98" s="105"/>
      <c r="AF98" s="106"/>
    </row>
    <row r="99" spans="1:36" s="119" customFormat="1" ht="18.75" customHeight="1" x14ac:dyDescent="0.15">
      <c r="A99" s="107"/>
      <c r="B99" s="108"/>
      <c r="C99" s="224"/>
      <c r="D99" s="123" t="s">
        <v>348</v>
      </c>
      <c r="E99" s="111" t="s">
        <v>253</v>
      </c>
      <c r="F99" s="112"/>
      <c r="G99" s="113"/>
      <c r="H99" s="227" t="s">
        <v>134</v>
      </c>
      <c r="I99" s="148" t="s">
        <v>348</v>
      </c>
      <c r="J99" s="149" t="s">
        <v>216</v>
      </c>
      <c r="K99" s="150"/>
      <c r="L99" s="152" t="s">
        <v>348</v>
      </c>
      <c r="M99" s="149" t="s">
        <v>232</v>
      </c>
      <c r="N99" s="196"/>
      <c r="O99" s="196"/>
      <c r="P99" s="196"/>
      <c r="Q99" s="196"/>
      <c r="R99" s="196"/>
      <c r="S99" s="196"/>
      <c r="T99" s="196"/>
      <c r="U99" s="196"/>
      <c r="V99" s="196"/>
      <c r="W99" s="196"/>
      <c r="X99" s="197"/>
      <c r="Y99" s="147"/>
      <c r="Z99" s="105"/>
      <c r="AA99" s="105"/>
      <c r="AB99" s="106"/>
      <c r="AC99" s="147"/>
      <c r="AD99" s="105"/>
      <c r="AE99" s="105"/>
      <c r="AF99" s="106"/>
      <c r="AI99" s="119" t="str">
        <f>"15:field151:" &amp; IF(I99="■",1,IF(L99="■",2,0))</f>
        <v>15:field151:0</v>
      </c>
    </row>
    <row r="100" spans="1:36" s="119" customFormat="1" ht="18.75" customHeight="1" x14ac:dyDescent="0.15">
      <c r="A100" s="107"/>
      <c r="B100" s="108"/>
      <c r="C100" s="224"/>
      <c r="D100" s="112"/>
      <c r="E100" s="111"/>
      <c r="F100" s="112"/>
      <c r="G100" s="113"/>
      <c r="H100" s="157" t="s">
        <v>198</v>
      </c>
      <c r="I100" s="123" t="s">
        <v>348</v>
      </c>
      <c r="J100" s="115" t="s">
        <v>216</v>
      </c>
      <c r="K100" s="115"/>
      <c r="L100" s="152" t="s">
        <v>348</v>
      </c>
      <c r="M100" s="115" t="s">
        <v>217</v>
      </c>
      <c r="N100" s="149"/>
      <c r="O100" s="123" t="s">
        <v>348</v>
      </c>
      <c r="P100" s="149" t="s">
        <v>218</v>
      </c>
      <c r="Q100" s="196"/>
      <c r="R100" s="196"/>
      <c r="S100" s="196"/>
      <c r="T100" s="196"/>
      <c r="U100" s="196"/>
      <c r="V100" s="196"/>
      <c r="W100" s="196"/>
      <c r="X100" s="197"/>
      <c r="Y100" s="147"/>
      <c r="Z100" s="105"/>
      <c r="AA100" s="105"/>
      <c r="AB100" s="106"/>
      <c r="AC100" s="147"/>
      <c r="AD100" s="105"/>
      <c r="AE100" s="105"/>
      <c r="AF100" s="106"/>
      <c r="AI100" s="119" t="str">
        <f>"15:nyukai_code:"&amp;IF(I100="■",1,IF(O100="■",3,IF(L100="■",2,0)))</f>
        <v>15:nyukai_code:0</v>
      </c>
    </row>
    <row r="101" spans="1:36" s="119" customFormat="1" ht="18.75" customHeight="1" x14ac:dyDescent="0.15">
      <c r="A101" s="107"/>
      <c r="B101" s="108"/>
      <c r="C101" s="224"/>
      <c r="D101" s="112"/>
      <c r="E101" s="111"/>
      <c r="F101" s="112"/>
      <c r="G101" s="113"/>
      <c r="H101" s="157" t="s">
        <v>151</v>
      </c>
      <c r="I101" s="194" t="s">
        <v>348</v>
      </c>
      <c r="J101" s="149" t="s">
        <v>216</v>
      </c>
      <c r="K101" s="150"/>
      <c r="L101" s="123" t="s">
        <v>348</v>
      </c>
      <c r="M101" s="149" t="s">
        <v>232</v>
      </c>
      <c r="N101" s="196"/>
      <c r="O101" s="196"/>
      <c r="P101" s="196"/>
      <c r="Q101" s="196"/>
      <c r="R101" s="196"/>
      <c r="S101" s="196"/>
      <c r="T101" s="196"/>
      <c r="U101" s="196"/>
      <c r="V101" s="196"/>
      <c r="W101" s="196"/>
      <c r="X101" s="197"/>
      <c r="Y101" s="147"/>
      <c r="Z101" s="105"/>
      <c r="AA101" s="105"/>
      <c r="AB101" s="106"/>
      <c r="AC101" s="147"/>
      <c r="AD101" s="105"/>
      <c r="AE101" s="105"/>
      <c r="AF101" s="106"/>
      <c r="AI101" s="119" t="str">
        <f>"15:field153:" &amp; IF(I101="■",1,IF(L101="■",2,0))</f>
        <v>15:field153:0</v>
      </c>
    </row>
    <row r="102" spans="1:36" s="119" customFormat="1" ht="18.75" customHeight="1" x14ac:dyDescent="0.15">
      <c r="A102" s="107"/>
      <c r="B102" s="108"/>
      <c r="C102" s="224"/>
      <c r="D102" s="112"/>
      <c r="E102" s="111"/>
      <c r="F102" s="112"/>
      <c r="G102" s="113"/>
      <c r="H102" s="157" t="s">
        <v>132</v>
      </c>
      <c r="I102" s="194" t="s">
        <v>348</v>
      </c>
      <c r="J102" s="149" t="s">
        <v>216</v>
      </c>
      <c r="K102" s="149"/>
      <c r="L102" s="195" t="s">
        <v>348</v>
      </c>
      <c r="M102" s="149" t="s">
        <v>233</v>
      </c>
      <c r="N102" s="149"/>
      <c r="O102" s="123" t="s">
        <v>348</v>
      </c>
      <c r="P102" s="149" t="s">
        <v>234</v>
      </c>
      <c r="Q102" s="196"/>
      <c r="R102" s="196"/>
      <c r="S102" s="196"/>
      <c r="T102" s="196"/>
      <c r="U102" s="196"/>
      <c r="V102" s="196"/>
      <c r="W102" s="196"/>
      <c r="X102" s="197"/>
      <c r="Y102" s="147"/>
      <c r="Z102" s="105"/>
      <c r="AA102" s="105"/>
      <c r="AB102" s="106"/>
      <c r="AC102" s="147"/>
      <c r="AD102" s="105"/>
      <c r="AE102" s="105"/>
      <c r="AF102" s="106"/>
      <c r="AI102" s="119" t="str">
        <f>"15:field185:" &amp; IF(I102="■",1,IF(L102="■",3,IF(O102="■",2,0)))</f>
        <v>15:field185:0</v>
      </c>
    </row>
    <row r="103" spans="1:36" s="119" customFormat="1" ht="18.75" customHeight="1" x14ac:dyDescent="0.15">
      <c r="A103" s="107"/>
      <c r="B103" s="108"/>
      <c r="C103" s="224"/>
      <c r="D103" s="112"/>
      <c r="E103" s="111"/>
      <c r="F103" s="112"/>
      <c r="G103" s="113"/>
      <c r="H103" s="157" t="s">
        <v>176</v>
      </c>
      <c r="I103" s="194" t="s">
        <v>348</v>
      </c>
      <c r="J103" s="149" t="s">
        <v>216</v>
      </c>
      <c r="K103" s="149"/>
      <c r="L103" s="195" t="s">
        <v>348</v>
      </c>
      <c r="M103" s="149" t="s">
        <v>249</v>
      </c>
      <c r="N103" s="228"/>
      <c r="O103" s="228"/>
      <c r="P103" s="123" t="s">
        <v>348</v>
      </c>
      <c r="Q103" s="149" t="s">
        <v>250</v>
      </c>
      <c r="R103" s="228"/>
      <c r="S103" s="228"/>
      <c r="T103" s="228"/>
      <c r="U103" s="228"/>
      <c r="V103" s="228"/>
      <c r="W103" s="228"/>
      <c r="X103" s="229"/>
      <c r="Y103" s="147"/>
      <c r="Z103" s="105"/>
      <c r="AA103" s="105"/>
      <c r="AB103" s="106"/>
      <c r="AC103" s="147"/>
      <c r="AD103" s="105"/>
      <c r="AE103" s="105"/>
      <c r="AF103" s="106"/>
      <c r="AI103" s="119" t="str">
        <f>"15:field205:" &amp; IF(I103="■",1,IF(P103="■",3,IF(L103="■",2,0)))</f>
        <v>15:field205:0</v>
      </c>
    </row>
    <row r="104" spans="1:36" s="119" customFormat="1" ht="18.75" customHeight="1" x14ac:dyDescent="0.15">
      <c r="A104" s="107"/>
      <c r="B104" s="108"/>
      <c r="C104" s="224"/>
      <c r="D104" s="112"/>
      <c r="E104" s="111"/>
      <c r="F104" s="112"/>
      <c r="G104" s="113"/>
      <c r="H104" s="157" t="s">
        <v>152</v>
      </c>
      <c r="I104" s="194" t="s">
        <v>348</v>
      </c>
      <c r="J104" s="149" t="s">
        <v>216</v>
      </c>
      <c r="K104" s="150"/>
      <c r="L104" s="152" t="s">
        <v>348</v>
      </c>
      <c r="M104" s="149" t="s">
        <v>232</v>
      </c>
      <c r="N104" s="196"/>
      <c r="O104" s="196"/>
      <c r="P104" s="196"/>
      <c r="Q104" s="196"/>
      <c r="R104" s="196"/>
      <c r="S104" s="196"/>
      <c r="T104" s="196"/>
      <c r="U104" s="196"/>
      <c r="V104" s="196"/>
      <c r="W104" s="196"/>
      <c r="X104" s="197"/>
      <c r="Y104" s="147"/>
      <c r="Z104" s="105"/>
      <c r="AA104" s="105"/>
      <c r="AB104" s="106"/>
      <c r="AC104" s="147"/>
      <c r="AD104" s="105"/>
      <c r="AE104" s="105"/>
      <c r="AF104" s="106"/>
      <c r="AI104" s="119" t="str">
        <f>"15:field186:" &amp; IF(I104="■",1,IF(L104="■",2,0))</f>
        <v>15:field186:0</v>
      </c>
    </row>
    <row r="105" spans="1:36" s="119" customFormat="1" ht="18.75" customHeight="1" x14ac:dyDescent="0.15">
      <c r="A105" s="107"/>
      <c r="B105" s="108"/>
      <c r="C105" s="224"/>
      <c r="D105" s="112"/>
      <c r="E105" s="111"/>
      <c r="F105" s="112"/>
      <c r="G105" s="113"/>
      <c r="H105" s="230" t="s">
        <v>119</v>
      </c>
      <c r="I105" s="194" t="s">
        <v>348</v>
      </c>
      <c r="J105" s="149" t="s">
        <v>216</v>
      </c>
      <c r="K105" s="150"/>
      <c r="L105" s="123" t="s">
        <v>348</v>
      </c>
      <c r="M105" s="149" t="s">
        <v>232</v>
      </c>
      <c r="N105" s="196"/>
      <c r="O105" s="196"/>
      <c r="P105" s="196"/>
      <c r="Q105" s="196"/>
      <c r="R105" s="196"/>
      <c r="S105" s="196"/>
      <c r="T105" s="196"/>
      <c r="U105" s="196"/>
      <c r="V105" s="196"/>
      <c r="W105" s="196"/>
      <c r="X105" s="197"/>
      <c r="Y105" s="147"/>
      <c r="Z105" s="105"/>
      <c r="AA105" s="105"/>
      <c r="AB105" s="106"/>
      <c r="AC105" s="147"/>
      <c r="AD105" s="105"/>
      <c r="AE105" s="105"/>
      <c r="AF105" s="106"/>
      <c r="AI105" s="119" t="str">
        <f>"15:field167:" &amp; IF(I105="■",1,IF(L105="■",2,0))</f>
        <v>15:field167:0</v>
      </c>
    </row>
    <row r="106" spans="1:36" s="119" customFormat="1" ht="18.75" customHeight="1" x14ac:dyDescent="0.15">
      <c r="A106" s="107"/>
      <c r="B106" s="108"/>
      <c r="C106" s="224"/>
      <c r="D106" s="112"/>
      <c r="E106" s="111"/>
      <c r="F106" s="112"/>
      <c r="G106" s="113"/>
      <c r="H106" s="230" t="s">
        <v>104</v>
      </c>
      <c r="I106" s="148" t="s">
        <v>348</v>
      </c>
      <c r="J106" s="149" t="s">
        <v>216</v>
      </c>
      <c r="K106" s="150"/>
      <c r="L106" s="152" t="s">
        <v>348</v>
      </c>
      <c r="M106" s="149" t="s">
        <v>232</v>
      </c>
      <c r="N106" s="196"/>
      <c r="O106" s="196"/>
      <c r="P106" s="196"/>
      <c r="Q106" s="196"/>
      <c r="R106" s="196"/>
      <c r="S106" s="196"/>
      <c r="T106" s="196"/>
      <c r="U106" s="196"/>
      <c r="V106" s="196"/>
      <c r="W106" s="196"/>
      <c r="X106" s="197"/>
      <c r="Y106" s="147"/>
      <c r="Z106" s="105"/>
      <c r="AA106" s="105"/>
      <c r="AB106" s="106"/>
      <c r="AC106" s="147"/>
      <c r="AD106" s="105"/>
      <c r="AE106" s="105"/>
      <c r="AF106" s="106"/>
      <c r="AI106" s="119" t="str">
        <f>"15:jyakuninti_uke_code:" &amp; IF(I106="■",1,IF(L106="■",2,0))</f>
        <v>15:jyakuninti_uke_code:0</v>
      </c>
    </row>
    <row r="107" spans="1:36" s="119" customFormat="1" ht="18.75" customHeight="1" x14ac:dyDescent="0.15">
      <c r="A107" s="107"/>
      <c r="B107" s="108"/>
      <c r="C107" s="224"/>
      <c r="D107" s="112"/>
      <c r="E107" s="111"/>
      <c r="F107" s="112"/>
      <c r="G107" s="113"/>
      <c r="H107" s="192" t="s">
        <v>203</v>
      </c>
      <c r="I107" s="152" t="s">
        <v>348</v>
      </c>
      <c r="J107" s="149" t="s">
        <v>216</v>
      </c>
      <c r="K107" s="150"/>
      <c r="L107" s="191" t="s">
        <v>348</v>
      </c>
      <c r="M107" s="149" t="s">
        <v>232</v>
      </c>
      <c r="N107" s="196"/>
      <c r="O107" s="196"/>
      <c r="P107" s="196"/>
      <c r="Q107" s="196"/>
      <c r="R107" s="196"/>
      <c r="S107" s="196"/>
      <c r="T107" s="196"/>
      <c r="U107" s="196"/>
      <c r="V107" s="196"/>
      <c r="W107" s="196"/>
      <c r="X107" s="197"/>
      <c r="Y107" s="147"/>
      <c r="Z107" s="105"/>
      <c r="AA107" s="105"/>
      <c r="AB107" s="106"/>
      <c r="AC107" s="147"/>
      <c r="AD107" s="105"/>
      <c r="AE107" s="105"/>
      <c r="AF107" s="106"/>
      <c r="AI107" s="119" t="str">
        <f>"15:eiyomana_code:" &amp; IF(I107="■",1,IF(L107="■",2,0))</f>
        <v>15:eiyomana_code:0</v>
      </c>
    </row>
    <row r="108" spans="1:36" s="119" customFormat="1" ht="18.75" customHeight="1" x14ac:dyDescent="0.15">
      <c r="A108" s="107"/>
      <c r="B108" s="108"/>
      <c r="C108" s="224"/>
      <c r="D108" s="112"/>
      <c r="E108" s="111"/>
      <c r="F108" s="112"/>
      <c r="G108" s="113"/>
      <c r="H108" s="157" t="s">
        <v>177</v>
      </c>
      <c r="I108" s="148" t="s">
        <v>348</v>
      </c>
      <c r="J108" s="149" t="s">
        <v>216</v>
      </c>
      <c r="K108" s="150"/>
      <c r="L108" s="191" t="s">
        <v>348</v>
      </c>
      <c r="M108" s="149" t="s">
        <v>232</v>
      </c>
      <c r="N108" s="196"/>
      <c r="O108" s="196"/>
      <c r="P108" s="196"/>
      <c r="Q108" s="196"/>
      <c r="R108" s="196"/>
      <c r="S108" s="196"/>
      <c r="T108" s="196"/>
      <c r="U108" s="196"/>
      <c r="V108" s="196"/>
      <c r="W108" s="196"/>
      <c r="X108" s="197"/>
      <c r="Y108" s="147"/>
      <c r="Z108" s="105"/>
      <c r="AA108" s="105"/>
      <c r="AB108" s="106"/>
      <c r="AC108" s="147"/>
      <c r="AD108" s="105"/>
      <c r="AE108" s="105"/>
      <c r="AF108" s="106"/>
      <c r="AI108" s="119" t="str">
        <f>"15:koukoukino_code:" &amp; IF(I108="■",1,IF(L108="■",2,0))</f>
        <v>15:koukoukino_code:0</v>
      </c>
    </row>
    <row r="109" spans="1:36" s="119" customFormat="1" ht="18.75" customHeight="1" x14ac:dyDescent="0.15">
      <c r="A109" s="107"/>
      <c r="B109" s="108"/>
      <c r="C109" s="224"/>
      <c r="D109" s="112"/>
      <c r="E109" s="111"/>
      <c r="F109" s="112"/>
      <c r="G109" s="113"/>
      <c r="H109" s="157" t="s">
        <v>175</v>
      </c>
      <c r="I109" s="123" t="s">
        <v>348</v>
      </c>
      <c r="J109" s="149" t="s">
        <v>216</v>
      </c>
      <c r="K109" s="150"/>
      <c r="L109" s="191" t="s">
        <v>348</v>
      </c>
      <c r="M109" s="149" t="s">
        <v>232</v>
      </c>
      <c r="N109" s="196"/>
      <c r="O109" s="196"/>
      <c r="P109" s="196"/>
      <c r="Q109" s="196"/>
      <c r="R109" s="196"/>
      <c r="S109" s="196"/>
      <c r="T109" s="196"/>
      <c r="U109" s="196"/>
      <c r="V109" s="196"/>
      <c r="W109" s="196"/>
      <c r="X109" s="197"/>
      <c r="Y109" s="147"/>
      <c r="Z109" s="105"/>
      <c r="AA109" s="105"/>
      <c r="AB109" s="106"/>
      <c r="AC109" s="147"/>
      <c r="AD109" s="105"/>
      <c r="AE109" s="105"/>
      <c r="AF109" s="106"/>
      <c r="AI109" s="119" t="str">
        <f>"15:field212:" &amp; IF(I109="■",1,IF(L109="■",2,0))</f>
        <v>15:field212:0</v>
      </c>
    </row>
    <row r="110" spans="1:36" s="119" customFormat="1" ht="18.75" customHeight="1" x14ac:dyDescent="0.15">
      <c r="A110" s="107"/>
      <c r="B110" s="108"/>
      <c r="C110" s="224"/>
      <c r="D110" s="112"/>
      <c r="E110" s="111"/>
      <c r="F110" s="112"/>
      <c r="G110" s="113"/>
      <c r="H110" s="230" t="s">
        <v>111</v>
      </c>
      <c r="I110" s="148" t="s">
        <v>348</v>
      </c>
      <c r="J110" s="149" t="s">
        <v>216</v>
      </c>
      <c r="K110" s="149"/>
      <c r="L110" s="123" t="s">
        <v>348</v>
      </c>
      <c r="M110" s="149" t="s">
        <v>224</v>
      </c>
      <c r="N110" s="149"/>
      <c r="O110" s="123" t="s">
        <v>348</v>
      </c>
      <c r="P110" s="149" t="s">
        <v>225</v>
      </c>
      <c r="Q110" s="149"/>
      <c r="R110" s="123" t="s">
        <v>348</v>
      </c>
      <c r="S110" s="149" t="s">
        <v>248</v>
      </c>
      <c r="T110" s="149"/>
      <c r="U110" s="196"/>
      <c r="V110" s="196"/>
      <c r="W110" s="196"/>
      <c r="X110" s="197"/>
      <c r="Y110" s="147"/>
      <c r="Z110" s="105"/>
      <c r="AA110" s="105"/>
      <c r="AB110" s="106"/>
      <c r="AC110" s="147"/>
      <c r="AD110" s="105"/>
      <c r="AE110" s="105"/>
      <c r="AF110" s="106"/>
      <c r="AI110" s="119" t="str">
        <f>"15:serteikyo_kyoka_code:" &amp; IF(I110="■",1,IF(L110="■",6,IF(O110="■",5,IF(R110="■",7,0))))</f>
        <v>15:serteikyo_kyoka_code:0</v>
      </c>
    </row>
    <row r="111" spans="1:36" s="119" customFormat="1" ht="18.75" customHeight="1" x14ac:dyDescent="0.15">
      <c r="A111" s="170"/>
      <c r="B111" s="171"/>
      <c r="C111" s="172"/>
      <c r="D111" s="173"/>
      <c r="E111" s="174"/>
      <c r="F111" s="175"/>
      <c r="G111" s="176"/>
      <c r="H111" s="95" t="s">
        <v>405</v>
      </c>
      <c r="I111" s="177" t="s">
        <v>348</v>
      </c>
      <c r="J111" s="96" t="s">
        <v>216</v>
      </c>
      <c r="K111" s="96"/>
      <c r="L111" s="178" t="s">
        <v>348</v>
      </c>
      <c r="M111" s="96" t="s">
        <v>373</v>
      </c>
      <c r="N111" s="97"/>
      <c r="O111" s="178" t="s">
        <v>348</v>
      </c>
      <c r="P111" s="99" t="s">
        <v>374</v>
      </c>
      <c r="Q111" s="98"/>
      <c r="R111" s="178" t="s">
        <v>348</v>
      </c>
      <c r="S111" s="96" t="s">
        <v>375</v>
      </c>
      <c r="T111" s="98"/>
      <c r="U111" s="178" t="s">
        <v>348</v>
      </c>
      <c r="V111" s="96" t="s">
        <v>376</v>
      </c>
      <c r="W111" s="100"/>
      <c r="X111" s="101"/>
      <c r="Y111" s="179"/>
      <c r="Z111" s="179"/>
      <c r="AA111" s="179"/>
      <c r="AB111" s="180"/>
      <c r="AC111" s="181"/>
      <c r="AD111" s="179"/>
      <c r="AE111" s="179"/>
      <c r="AF111" s="180"/>
      <c r="AI111" s="119" t="str">
        <f>"15:shoguukaizen_code:"&amp;IF(I111="■",1,IF(L111="■",7,IF(O111="■",8,IF(R111="■",9,IF(U111="■","A",0)))))</f>
        <v>15:shoguukaizen_code:0</v>
      </c>
    </row>
    <row r="112" spans="1:36" s="119" customFormat="1" ht="18.75" customHeight="1" x14ac:dyDescent="0.15">
      <c r="A112" s="130"/>
      <c r="B112" s="131"/>
      <c r="C112" s="132"/>
      <c r="D112" s="133"/>
      <c r="E112" s="126"/>
      <c r="F112" s="133"/>
      <c r="G112" s="213"/>
      <c r="H112" s="361" t="s">
        <v>162</v>
      </c>
      <c r="I112" s="140" t="s">
        <v>348</v>
      </c>
      <c r="J112" s="124" t="s">
        <v>216</v>
      </c>
      <c r="K112" s="124"/>
      <c r="L112" s="231"/>
      <c r="M112" s="136" t="s">
        <v>348</v>
      </c>
      <c r="N112" s="124" t="s">
        <v>254</v>
      </c>
      <c r="O112" s="124"/>
      <c r="P112" s="231"/>
      <c r="Q112" s="136" t="s">
        <v>348</v>
      </c>
      <c r="R112" s="232" t="s">
        <v>255</v>
      </c>
      <c r="S112" s="232"/>
      <c r="T112" s="232"/>
      <c r="U112" s="136" t="s">
        <v>348</v>
      </c>
      <c r="V112" s="232" t="s">
        <v>256</v>
      </c>
      <c r="W112" s="232"/>
      <c r="X112" s="213"/>
      <c r="Y112" s="140" t="s">
        <v>348</v>
      </c>
      <c r="Z112" s="124" t="s">
        <v>215</v>
      </c>
      <c r="AA112" s="124"/>
      <c r="AB112" s="139"/>
      <c r="AC112" s="363"/>
      <c r="AD112" s="363"/>
      <c r="AE112" s="363"/>
      <c r="AF112" s="363"/>
      <c r="AG112" s="119" t="str">
        <f>"ser_code = '" &amp; IF(A123="■",16,"") &amp; "'"</f>
        <v>ser_code = ''</v>
      </c>
      <c r="AI112" s="119" t="str">
        <f>"16:"&amp;IF(AND(I112="□",M112="□",Q112="□",U112="□",I113="□",M113="□",Q113="□"),"ketu_doctor_code:0",IF(I112="■","ketu_doctor_code:1:ketu_kangos_code:1:ketu_kshoku_code:1:ketu_rryoho_code:1:ketu_sryoho_code:1:ketu_gengo_code:1",
IF(M112="■","ketu_doctor_code:2","ketu_doctor_code:1")
&amp;IF(Q112="■",":ketu_kangos_code:2",":ketu_kangos_code:1")
&amp;IF(U112="■",":ketu_kshoku_code:2",":ketu_kshoku_code:1")
&amp;IF(I113="■",":ketu_rryoho_code:2",":ketu_rryoho_code:1")
&amp;IF(M113="■",":ketu_sryoho_code:2",":ketu_sryoho_code:1")
&amp;IF(Q113="■",":ketu_gengo_code:2",":ketu_gengo_code:1")))</f>
        <v>16:ketu_doctor_code:0</v>
      </c>
      <c r="AJ112" s="119" t="str">
        <f>"16:field203:" &amp; IF(Y112="■",1,IF(Y113="■",2,0))</f>
        <v>16:field203:0</v>
      </c>
    </row>
    <row r="113" spans="1:35" s="119" customFormat="1" ht="18.75" customHeight="1" x14ac:dyDescent="0.15">
      <c r="A113" s="107"/>
      <c r="B113" s="108"/>
      <c r="C113" s="109"/>
      <c r="D113" s="110"/>
      <c r="E113" s="111"/>
      <c r="F113" s="110"/>
      <c r="G113" s="165"/>
      <c r="H113" s="362"/>
      <c r="I113" s="123" t="s">
        <v>348</v>
      </c>
      <c r="J113" s="115" t="s">
        <v>257</v>
      </c>
      <c r="K113" s="144"/>
      <c r="L113" s="144"/>
      <c r="M113" s="123" t="s">
        <v>348</v>
      </c>
      <c r="N113" s="115" t="s">
        <v>258</v>
      </c>
      <c r="O113" s="144"/>
      <c r="P113" s="144"/>
      <c r="Q113" s="123" t="s">
        <v>348</v>
      </c>
      <c r="R113" s="115" t="s">
        <v>259</v>
      </c>
      <c r="S113" s="144"/>
      <c r="T113" s="144"/>
      <c r="U113" s="144"/>
      <c r="V113" s="144"/>
      <c r="W113" s="144"/>
      <c r="X113" s="226"/>
      <c r="Y113" s="123" t="s">
        <v>348</v>
      </c>
      <c r="Z113" s="104" t="s">
        <v>221</v>
      </c>
      <c r="AA113" s="105"/>
      <c r="AB113" s="106"/>
      <c r="AC113" s="364"/>
      <c r="AD113" s="364"/>
      <c r="AE113" s="364"/>
      <c r="AF113" s="364"/>
      <c r="AG113" s="119" t="str">
        <f>"16:sisetukbn_code:" &amp; IF(D119="■",4,IF(D120="■",7,IF(D121="■","A",IF(D122="■","D",IF(D123="■","E",IF(D124="■","F",IF(D125="■","G",IF(D126="■","H",IF(D127="■","J",0)))))))))</f>
        <v>16:sisetukbn_code:0</v>
      </c>
    </row>
    <row r="114" spans="1:35" s="119" customFormat="1" ht="19.5" customHeight="1" x14ac:dyDescent="0.15">
      <c r="A114" s="107"/>
      <c r="B114" s="108"/>
      <c r="C114" s="109"/>
      <c r="D114" s="110"/>
      <c r="E114" s="111"/>
      <c r="F114" s="112"/>
      <c r="G114" s="113"/>
      <c r="H114" s="114" t="s">
        <v>369</v>
      </c>
      <c r="I114" s="148" t="s">
        <v>348</v>
      </c>
      <c r="J114" s="149" t="s">
        <v>360</v>
      </c>
      <c r="K114" s="150"/>
      <c r="L114" s="151"/>
      <c r="M114" s="152" t="s">
        <v>348</v>
      </c>
      <c r="N114" s="149" t="s">
        <v>370</v>
      </c>
      <c r="O114" s="153"/>
      <c r="P114" s="149"/>
      <c r="Q114" s="154"/>
      <c r="R114" s="154"/>
      <c r="S114" s="154"/>
      <c r="T114" s="154"/>
      <c r="U114" s="154"/>
      <c r="V114" s="154"/>
      <c r="W114" s="154"/>
      <c r="X114" s="155"/>
      <c r="Y114" s="105"/>
      <c r="Z114" s="105"/>
      <c r="AA114" s="105"/>
      <c r="AB114" s="106"/>
      <c r="AC114" s="364"/>
      <c r="AD114" s="364"/>
      <c r="AE114" s="364"/>
      <c r="AF114" s="364"/>
      <c r="AI114" s="119" t="str">
        <f>"16:field223:" &amp; IF(I114="■",1,IF(M114="■",2,0))</f>
        <v>16:field223:0</v>
      </c>
    </row>
    <row r="115" spans="1:35" s="119" customFormat="1" ht="19.5" customHeight="1" x14ac:dyDescent="0.15">
      <c r="A115" s="107"/>
      <c r="B115" s="108"/>
      <c r="C115" s="109"/>
      <c r="D115" s="110"/>
      <c r="E115" s="111"/>
      <c r="F115" s="112"/>
      <c r="G115" s="113"/>
      <c r="H115" s="114" t="s">
        <v>390</v>
      </c>
      <c r="I115" s="148" t="s">
        <v>348</v>
      </c>
      <c r="J115" s="149" t="s">
        <v>360</v>
      </c>
      <c r="K115" s="150"/>
      <c r="L115" s="151"/>
      <c r="M115" s="152" t="s">
        <v>348</v>
      </c>
      <c r="N115" s="149" t="s">
        <v>370</v>
      </c>
      <c r="O115" s="153"/>
      <c r="P115" s="149"/>
      <c r="Q115" s="154"/>
      <c r="R115" s="154"/>
      <c r="S115" s="154"/>
      <c r="T115" s="154"/>
      <c r="U115" s="154"/>
      <c r="V115" s="154"/>
      <c r="W115" s="154"/>
      <c r="X115" s="155"/>
      <c r="Y115" s="105"/>
      <c r="Z115" s="105"/>
      <c r="AA115" s="105"/>
      <c r="AB115" s="106"/>
      <c r="AC115" s="364"/>
      <c r="AD115" s="364"/>
      <c r="AE115" s="364"/>
      <c r="AF115" s="364"/>
      <c r="AI115" s="119" t="str">
        <f>"16:field232:" &amp; IF(I115="■",1,IF(M115="■",2,0))</f>
        <v>16:field232:0</v>
      </c>
    </row>
    <row r="116" spans="1:35" s="119" customFormat="1" ht="18.75" customHeight="1" x14ac:dyDescent="0.15">
      <c r="A116" s="107"/>
      <c r="B116" s="108"/>
      <c r="C116" s="109"/>
      <c r="D116" s="110"/>
      <c r="E116" s="111"/>
      <c r="F116" s="110"/>
      <c r="G116" s="165"/>
      <c r="H116" s="367" t="s">
        <v>193</v>
      </c>
      <c r="I116" s="344" t="s">
        <v>348</v>
      </c>
      <c r="J116" s="343" t="s">
        <v>216</v>
      </c>
      <c r="K116" s="343"/>
      <c r="L116" s="348" t="s">
        <v>348</v>
      </c>
      <c r="M116" s="343" t="s">
        <v>232</v>
      </c>
      <c r="N116" s="343"/>
      <c r="O116" s="198"/>
      <c r="P116" s="198"/>
      <c r="Q116" s="198"/>
      <c r="R116" s="198"/>
      <c r="S116" s="198"/>
      <c r="T116" s="198"/>
      <c r="U116" s="198"/>
      <c r="V116" s="198"/>
      <c r="W116" s="198"/>
      <c r="X116" s="199"/>
      <c r="Y116" s="147"/>
      <c r="Z116" s="105"/>
      <c r="AA116" s="105"/>
      <c r="AB116" s="106"/>
      <c r="AC116" s="365"/>
      <c r="AD116" s="365"/>
      <c r="AE116" s="365"/>
      <c r="AF116" s="365"/>
      <c r="AI116" s="119" t="str">
        <f>"16:field204:" &amp; IF(I116="■",1,IF(L116="■",2,0))</f>
        <v>16:field204:0</v>
      </c>
    </row>
    <row r="117" spans="1:35" s="119" customFormat="1" ht="18.75" customHeight="1" x14ac:dyDescent="0.15">
      <c r="A117" s="107"/>
      <c r="B117" s="108"/>
      <c r="C117" s="109"/>
      <c r="D117" s="110"/>
      <c r="E117" s="111"/>
      <c r="F117" s="110"/>
      <c r="G117" s="165"/>
      <c r="H117" s="367"/>
      <c r="I117" s="356"/>
      <c r="J117" s="332"/>
      <c r="K117" s="332"/>
      <c r="L117" s="357"/>
      <c r="M117" s="332"/>
      <c r="N117" s="332"/>
      <c r="O117" s="103"/>
      <c r="P117" s="103"/>
      <c r="Q117" s="103"/>
      <c r="R117" s="103"/>
      <c r="S117" s="103"/>
      <c r="T117" s="103"/>
      <c r="U117" s="103"/>
      <c r="V117" s="103"/>
      <c r="W117" s="103"/>
      <c r="X117" s="165"/>
      <c r="Y117" s="147"/>
      <c r="Z117" s="105"/>
      <c r="AA117" s="105"/>
      <c r="AB117" s="106"/>
      <c r="AC117" s="365"/>
      <c r="AD117" s="365"/>
      <c r="AE117" s="365"/>
      <c r="AF117" s="365"/>
    </row>
    <row r="118" spans="1:35" s="119" customFormat="1" ht="18.75" customHeight="1" x14ac:dyDescent="0.15">
      <c r="A118" s="107"/>
      <c r="B118" s="108"/>
      <c r="C118" s="109"/>
      <c r="D118" s="110"/>
      <c r="E118" s="111"/>
      <c r="F118" s="110"/>
      <c r="G118" s="165"/>
      <c r="H118" s="367"/>
      <c r="I118" s="345"/>
      <c r="J118" s="333"/>
      <c r="K118" s="333"/>
      <c r="L118" s="349"/>
      <c r="M118" s="333"/>
      <c r="N118" s="333"/>
      <c r="O118" s="144"/>
      <c r="P118" s="144"/>
      <c r="Q118" s="144"/>
      <c r="R118" s="144"/>
      <c r="S118" s="144"/>
      <c r="T118" s="144"/>
      <c r="U118" s="144"/>
      <c r="V118" s="144"/>
      <c r="W118" s="144"/>
      <c r="X118" s="226"/>
      <c r="Y118" s="147"/>
      <c r="Z118" s="105"/>
      <c r="AA118" s="105"/>
      <c r="AB118" s="106"/>
      <c r="AC118" s="365"/>
      <c r="AD118" s="365"/>
      <c r="AE118" s="365"/>
      <c r="AF118" s="365"/>
    </row>
    <row r="119" spans="1:35" s="119" customFormat="1" ht="18.75" customHeight="1" x14ac:dyDescent="0.15">
      <c r="A119" s="107"/>
      <c r="B119" s="108"/>
      <c r="C119" s="109"/>
      <c r="D119" s="123" t="s">
        <v>348</v>
      </c>
      <c r="E119" s="111" t="s">
        <v>264</v>
      </c>
      <c r="F119" s="110"/>
      <c r="G119" s="165"/>
      <c r="H119" s="230" t="s">
        <v>95</v>
      </c>
      <c r="I119" s="148" t="s">
        <v>348</v>
      </c>
      <c r="J119" s="149" t="s">
        <v>230</v>
      </c>
      <c r="K119" s="150"/>
      <c r="L119" s="151"/>
      <c r="M119" s="152" t="s">
        <v>348</v>
      </c>
      <c r="N119" s="149" t="s">
        <v>231</v>
      </c>
      <c r="O119" s="154"/>
      <c r="P119" s="154"/>
      <c r="Q119" s="154"/>
      <c r="R119" s="154"/>
      <c r="S119" s="154"/>
      <c r="T119" s="154"/>
      <c r="U119" s="154"/>
      <c r="V119" s="154"/>
      <c r="W119" s="154"/>
      <c r="X119" s="155"/>
      <c r="Y119" s="147"/>
      <c r="Z119" s="105"/>
      <c r="AA119" s="105"/>
      <c r="AB119" s="106"/>
      <c r="AC119" s="365"/>
      <c r="AD119" s="365"/>
      <c r="AE119" s="365"/>
      <c r="AF119" s="365"/>
      <c r="AI119" s="119" t="str">
        <f>"16:timeser_code:" &amp; IF(I119="■",1,IF(M119="■",2,0))</f>
        <v>16:timeser_code:0</v>
      </c>
    </row>
    <row r="120" spans="1:35" s="119" customFormat="1" ht="18.75" customHeight="1" x14ac:dyDescent="0.15">
      <c r="A120" s="107"/>
      <c r="B120" s="108"/>
      <c r="C120" s="109"/>
      <c r="D120" s="123" t="s">
        <v>348</v>
      </c>
      <c r="E120" s="111" t="s">
        <v>263</v>
      </c>
      <c r="F120" s="110"/>
      <c r="G120" s="165"/>
      <c r="H120" s="233" t="s">
        <v>153</v>
      </c>
      <c r="I120" s="148" t="s">
        <v>348</v>
      </c>
      <c r="J120" s="149" t="s">
        <v>216</v>
      </c>
      <c r="K120" s="150"/>
      <c r="L120" s="152" t="s">
        <v>348</v>
      </c>
      <c r="M120" s="149" t="s">
        <v>232</v>
      </c>
      <c r="N120" s="196"/>
      <c r="O120" s="196"/>
      <c r="P120" s="196"/>
      <c r="Q120" s="196"/>
      <c r="R120" s="196"/>
      <c r="S120" s="196"/>
      <c r="T120" s="196"/>
      <c r="U120" s="196"/>
      <c r="V120" s="196"/>
      <c r="W120" s="196"/>
      <c r="X120" s="197"/>
      <c r="Y120" s="147"/>
      <c r="Z120" s="105"/>
      <c r="AA120" s="105"/>
      <c r="AB120" s="106"/>
      <c r="AC120" s="365"/>
      <c r="AD120" s="365"/>
      <c r="AE120" s="365"/>
      <c r="AF120" s="365"/>
      <c r="AI120" s="119" t="str">
        <f>"16:field188:" &amp; IF(I120="■",1,IF(L120="■",2,0))</f>
        <v>16:field188:0</v>
      </c>
    </row>
    <row r="121" spans="1:35" s="119" customFormat="1" ht="18.75" customHeight="1" x14ac:dyDescent="0.15">
      <c r="A121" s="107"/>
      <c r="B121" s="108"/>
      <c r="C121" s="109"/>
      <c r="D121" s="123" t="s">
        <v>348</v>
      </c>
      <c r="E121" s="111" t="s">
        <v>262</v>
      </c>
      <c r="F121" s="110"/>
      <c r="G121" s="165"/>
      <c r="H121" s="157" t="s">
        <v>198</v>
      </c>
      <c r="I121" s="148" t="s">
        <v>348</v>
      </c>
      <c r="J121" s="149" t="s">
        <v>216</v>
      </c>
      <c r="K121" s="149"/>
      <c r="L121" s="152" t="s">
        <v>348</v>
      </c>
      <c r="M121" s="149" t="s">
        <v>217</v>
      </c>
      <c r="N121" s="149"/>
      <c r="O121" s="152" t="s">
        <v>348</v>
      </c>
      <c r="P121" s="149" t="s">
        <v>218</v>
      </c>
      <c r="Q121" s="196"/>
      <c r="R121" s="196"/>
      <c r="S121" s="196"/>
      <c r="T121" s="196"/>
      <c r="U121" s="196"/>
      <c r="V121" s="196"/>
      <c r="W121" s="196"/>
      <c r="X121" s="197"/>
      <c r="Y121" s="147"/>
      <c r="Z121" s="105"/>
      <c r="AA121" s="105"/>
      <c r="AB121" s="106"/>
      <c r="AC121" s="365"/>
      <c r="AD121" s="365"/>
      <c r="AE121" s="365"/>
      <c r="AF121" s="365"/>
      <c r="AI121" s="119" t="str">
        <f>"16:nyukai_code:" &amp; IF(I121="■",1,IF(O121="■",3,IF(L121="■",2,0)))</f>
        <v>16:nyukai_code:0</v>
      </c>
    </row>
    <row r="122" spans="1:35" s="119" customFormat="1" ht="18.75" customHeight="1" x14ac:dyDescent="0.15">
      <c r="A122" s="107"/>
      <c r="B122" s="108"/>
      <c r="C122" s="109"/>
      <c r="D122" s="123" t="s">
        <v>348</v>
      </c>
      <c r="E122" s="111" t="s">
        <v>406</v>
      </c>
      <c r="F122" s="110"/>
      <c r="G122" s="165"/>
      <c r="H122" s="234" t="s">
        <v>141</v>
      </c>
      <c r="I122" s="235" t="s">
        <v>348</v>
      </c>
      <c r="J122" s="206" t="s">
        <v>216</v>
      </c>
      <c r="K122" s="206"/>
      <c r="L122" s="207"/>
      <c r="M122" s="208" t="s">
        <v>348</v>
      </c>
      <c r="N122" s="206" t="s">
        <v>403</v>
      </c>
      <c r="O122" s="206"/>
      <c r="P122" s="207"/>
      <c r="Q122" s="208" t="s">
        <v>348</v>
      </c>
      <c r="R122" s="209" t="s">
        <v>404</v>
      </c>
      <c r="S122" s="209"/>
      <c r="T122" s="209"/>
      <c r="U122" s="208" t="s">
        <v>348</v>
      </c>
      <c r="V122" s="209" t="s">
        <v>384</v>
      </c>
      <c r="W122" s="209"/>
      <c r="X122" s="211"/>
      <c r="Y122" s="147"/>
      <c r="Z122" s="105"/>
      <c r="AA122" s="105"/>
      <c r="AB122" s="106"/>
      <c r="AC122" s="365"/>
      <c r="AD122" s="365"/>
      <c r="AE122" s="365"/>
      <c r="AF122" s="365"/>
      <c r="AI122" s="119" t="str">
        <f>"16:field149:" &amp; IF(I122="■",1,IF(U122="■",8,IF(Q122="■",6,IF(M122="■",3,0))))</f>
        <v>16:field149:0</v>
      </c>
    </row>
    <row r="123" spans="1:35" s="119" customFormat="1" ht="19.5" customHeight="1" x14ac:dyDescent="0.15">
      <c r="A123" s="128" t="s">
        <v>348</v>
      </c>
      <c r="B123" s="108">
        <v>16</v>
      </c>
      <c r="C123" s="109" t="s">
        <v>187</v>
      </c>
      <c r="D123" s="123" t="s">
        <v>348</v>
      </c>
      <c r="E123" s="111" t="s">
        <v>407</v>
      </c>
      <c r="F123" s="112"/>
      <c r="G123" s="113"/>
      <c r="H123" s="327" t="s">
        <v>381</v>
      </c>
      <c r="I123" s="356" t="s">
        <v>348</v>
      </c>
      <c r="J123" s="332" t="s">
        <v>216</v>
      </c>
      <c r="K123" s="332"/>
      <c r="L123" s="357" t="s">
        <v>348</v>
      </c>
      <c r="M123" s="332" t="s">
        <v>232</v>
      </c>
      <c r="N123" s="332"/>
      <c r="O123" s="104"/>
      <c r="P123" s="212"/>
      <c r="Q123" s="212"/>
      <c r="R123" s="212"/>
      <c r="S123" s="103"/>
      <c r="T123" s="103"/>
      <c r="U123" s="212"/>
      <c r="V123" s="212"/>
      <c r="W123" s="103"/>
      <c r="X123" s="165"/>
      <c r="Y123" s="147"/>
      <c r="Z123" s="105"/>
      <c r="AA123" s="105"/>
      <c r="AB123" s="106"/>
      <c r="AC123" s="365"/>
      <c r="AD123" s="365"/>
      <c r="AE123" s="365"/>
      <c r="AF123" s="365"/>
      <c r="AI123" s="119" t="str">
        <f>"16:field239:" &amp; IF(I123="■",1,IF(L123="■",2,0))</f>
        <v>16:field239:0</v>
      </c>
    </row>
    <row r="124" spans="1:35" s="119" customFormat="1" ht="19.5" customHeight="1" x14ac:dyDescent="0.15">
      <c r="A124" s="107"/>
      <c r="B124" s="108"/>
      <c r="C124" s="109"/>
      <c r="D124" s="123" t="s">
        <v>348</v>
      </c>
      <c r="E124" s="111" t="s">
        <v>408</v>
      </c>
      <c r="F124" s="112"/>
      <c r="G124" s="113"/>
      <c r="H124" s="328"/>
      <c r="I124" s="345"/>
      <c r="J124" s="333"/>
      <c r="K124" s="333"/>
      <c r="L124" s="349"/>
      <c r="M124" s="333"/>
      <c r="N124" s="333"/>
      <c r="O124" s="104"/>
      <c r="P124" s="212"/>
      <c r="Q124" s="144"/>
      <c r="R124" s="144"/>
      <c r="S124" s="103"/>
      <c r="T124" s="103"/>
      <c r="U124" s="236"/>
      <c r="V124" s="144"/>
      <c r="W124" s="103"/>
      <c r="X124" s="165"/>
      <c r="Y124" s="147"/>
      <c r="Z124" s="105"/>
      <c r="AA124" s="105"/>
      <c r="AB124" s="106"/>
      <c r="AC124" s="365"/>
      <c r="AD124" s="365"/>
      <c r="AE124" s="365"/>
      <c r="AF124" s="365"/>
    </row>
    <row r="125" spans="1:35" s="119" customFormat="1" ht="18.75" customHeight="1" x14ac:dyDescent="0.15">
      <c r="A125" s="107"/>
      <c r="B125" s="108"/>
      <c r="C125" s="109"/>
      <c r="D125" s="123" t="s">
        <v>348</v>
      </c>
      <c r="E125" s="111" t="s">
        <v>400</v>
      </c>
      <c r="F125" s="110"/>
      <c r="G125" s="165"/>
      <c r="H125" s="157" t="s">
        <v>128</v>
      </c>
      <c r="I125" s="152" t="s">
        <v>348</v>
      </c>
      <c r="J125" s="149" t="s">
        <v>216</v>
      </c>
      <c r="K125" s="149"/>
      <c r="L125" s="152" t="s">
        <v>348</v>
      </c>
      <c r="M125" s="149" t="s">
        <v>217</v>
      </c>
      <c r="N125" s="149"/>
      <c r="O125" s="152" t="s">
        <v>348</v>
      </c>
      <c r="P125" s="149" t="s">
        <v>218</v>
      </c>
      <c r="Q125" s="196"/>
      <c r="R125" s="196"/>
      <c r="S125" s="196"/>
      <c r="T125" s="196"/>
      <c r="U125" s="196"/>
      <c r="V125" s="196"/>
      <c r="W125" s="196"/>
      <c r="X125" s="197"/>
      <c r="Y125" s="147"/>
      <c r="Z125" s="105"/>
      <c r="AA125" s="105"/>
      <c r="AB125" s="106"/>
      <c r="AC125" s="365"/>
      <c r="AD125" s="365"/>
      <c r="AE125" s="365"/>
      <c r="AF125" s="365"/>
      <c r="AI125" s="119" t="str">
        <f>"16:ninti_riha_code:" &amp; IF(I125="■",1,IF(L125="■",2,IF(O125="■",3,0)))</f>
        <v>16:ninti_riha_code:0</v>
      </c>
    </row>
    <row r="126" spans="1:35" s="119" customFormat="1" ht="18.75" customHeight="1" x14ac:dyDescent="0.15">
      <c r="A126" s="107"/>
      <c r="B126" s="108"/>
      <c r="C126" s="109"/>
      <c r="D126" s="123" t="s">
        <v>348</v>
      </c>
      <c r="E126" s="111" t="s">
        <v>401</v>
      </c>
      <c r="F126" s="110"/>
      <c r="G126" s="165"/>
      <c r="H126" s="157" t="s">
        <v>123</v>
      </c>
      <c r="I126" s="148" t="s">
        <v>348</v>
      </c>
      <c r="J126" s="149" t="s">
        <v>216</v>
      </c>
      <c r="K126" s="150"/>
      <c r="L126" s="152" t="s">
        <v>348</v>
      </c>
      <c r="M126" s="149" t="s">
        <v>232</v>
      </c>
      <c r="N126" s="196"/>
      <c r="O126" s="196"/>
      <c r="P126" s="196"/>
      <c r="Q126" s="196"/>
      <c r="R126" s="196"/>
      <c r="S126" s="196"/>
      <c r="T126" s="196"/>
      <c r="U126" s="196"/>
      <c r="V126" s="196"/>
      <c r="W126" s="196"/>
      <c r="X126" s="197"/>
      <c r="Y126" s="147"/>
      <c r="Z126" s="105"/>
      <c r="AA126" s="105"/>
      <c r="AB126" s="106"/>
      <c r="AC126" s="365"/>
      <c r="AD126" s="365"/>
      <c r="AE126" s="365"/>
      <c r="AF126" s="365"/>
      <c r="AI126" s="119" t="str">
        <f>"16:field157:" &amp; IF(I126="■",1,IF(L126="■",2,0))</f>
        <v>16:field157:0</v>
      </c>
    </row>
    <row r="127" spans="1:35" s="119" customFormat="1" ht="18.75" customHeight="1" x14ac:dyDescent="0.15">
      <c r="A127" s="107"/>
      <c r="B127" s="108"/>
      <c r="C127" s="109"/>
      <c r="D127" s="123" t="s">
        <v>348</v>
      </c>
      <c r="E127" s="111" t="s">
        <v>402</v>
      </c>
      <c r="F127" s="110"/>
      <c r="G127" s="165"/>
      <c r="H127" s="230" t="s">
        <v>104</v>
      </c>
      <c r="I127" s="152" t="s">
        <v>348</v>
      </c>
      <c r="J127" s="149" t="s">
        <v>216</v>
      </c>
      <c r="K127" s="150"/>
      <c r="L127" s="152" t="s">
        <v>348</v>
      </c>
      <c r="M127" s="149" t="s">
        <v>232</v>
      </c>
      <c r="N127" s="196"/>
      <c r="O127" s="196"/>
      <c r="P127" s="196"/>
      <c r="Q127" s="196"/>
      <c r="R127" s="196"/>
      <c r="S127" s="196"/>
      <c r="T127" s="196"/>
      <c r="U127" s="196"/>
      <c r="V127" s="196"/>
      <c r="W127" s="196"/>
      <c r="X127" s="197"/>
      <c r="Y127" s="147"/>
      <c r="Z127" s="105"/>
      <c r="AA127" s="105"/>
      <c r="AB127" s="106"/>
      <c r="AC127" s="365"/>
      <c r="AD127" s="365"/>
      <c r="AE127" s="365"/>
      <c r="AF127" s="365"/>
      <c r="AI127" s="119" t="str">
        <f>"16:jyakuninti_uke_code:" &amp; IF(I127="■",1,IF(L127="■",2,0))</f>
        <v>16:jyakuninti_uke_code:0</v>
      </c>
    </row>
    <row r="128" spans="1:35" s="119" customFormat="1" ht="18.75" customHeight="1" x14ac:dyDescent="0.15">
      <c r="A128" s="107"/>
      <c r="B128" s="108"/>
      <c r="C128" s="109"/>
      <c r="D128" s="110"/>
      <c r="E128" s="111"/>
      <c r="F128" s="110"/>
      <c r="G128" s="165"/>
      <c r="H128" s="237" t="s">
        <v>203</v>
      </c>
      <c r="I128" s="152" t="s">
        <v>348</v>
      </c>
      <c r="J128" s="149" t="s">
        <v>216</v>
      </c>
      <c r="K128" s="150"/>
      <c r="L128" s="152" t="s">
        <v>348</v>
      </c>
      <c r="M128" s="149" t="s">
        <v>232</v>
      </c>
      <c r="N128" s="196"/>
      <c r="O128" s="196"/>
      <c r="P128" s="196"/>
      <c r="Q128" s="196"/>
      <c r="R128" s="196"/>
      <c r="S128" s="196"/>
      <c r="T128" s="196"/>
      <c r="U128" s="196"/>
      <c r="V128" s="196"/>
      <c r="W128" s="196"/>
      <c r="X128" s="197"/>
      <c r="Y128" s="147"/>
      <c r="Z128" s="105"/>
      <c r="AA128" s="105"/>
      <c r="AB128" s="106"/>
      <c r="AC128" s="365"/>
      <c r="AD128" s="365"/>
      <c r="AE128" s="365"/>
      <c r="AF128" s="365"/>
      <c r="AI128" s="119" t="str">
        <f>"16:eiyomana_code:" &amp; IF(I128="■",1,IF(L128="■",2,0))</f>
        <v>16:eiyomana_code:0</v>
      </c>
    </row>
    <row r="129" spans="1:37" s="119" customFormat="1" ht="18.75" customHeight="1" x14ac:dyDescent="0.15">
      <c r="A129" s="107"/>
      <c r="B129" s="108"/>
      <c r="C129" s="109"/>
      <c r="D129" s="110"/>
      <c r="E129" s="111"/>
      <c r="F129" s="110"/>
      <c r="G129" s="165"/>
      <c r="H129" s="157" t="s">
        <v>177</v>
      </c>
      <c r="I129" s="152" t="s">
        <v>348</v>
      </c>
      <c r="J129" s="149" t="s">
        <v>216</v>
      </c>
      <c r="K129" s="150"/>
      <c r="L129" s="152" t="s">
        <v>348</v>
      </c>
      <c r="M129" s="149" t="s">
        <v>232</v>
      </c>
      <c r="N129" s="196"/>
      <c r="O129" s="196"/>
      <c r="P129" s="196"/>
      <c r="Q129" s="196"/>
      <c r="R129" s="196"/>
      <c r="S129" s="196"/>
      <c r="T129" s="196"/>
      <c r="U129" s="196"/>
      <c r="V129" s="196"/>
      <c r="W129" s="196"/>
      <c r="X129" s="197"/>
      <c r="Y129" s="147"/>
      <c r="Z129" s="105"/>
      <c r="AA129" s="105"/>
      <c r="AB129" s="106"/>
      <c r="AC129" s="365"/>
      <c r="AD129" s="365"/>
      <c r="AE129" s="365"/>
      <c r="AF129" s="365"/>
      <c r="AI129" s="119" t="str">
        <f>"16:koukoukino_code:" &amp; IF(I129="■",1,IF(L129="■",2,0))</f>
        <v>16:koukoukino_code:0</v>
      </c>
    </row>
    <row r="130" spans="1:37" s="119" customFormat="1" ht="18.75" customHeight="1" x14ac:dyDescent="0.15">
      <c r="A130" s="107"/>
      <c r="B130" s="108"/>
      <c r="C130" s="109"/>
      <c r="D130" s="110"/>
      <c r="E130" s="111"/>
      <c r="F130" s="110"/>
      <c r="G130" s="165"/>
      <c r="H130" s="230" t="s">
        <v>169</v>
      </c>
      <c r="I130" s="152" t="s">
        <v>348</v>
      </c>
      <c r="J130" s="149" t="s">
        <v>216</v>
      </c>
      <c r="K130" s="150"/>
      <c r="L130" s="152" t="s">
        <v>348</v>
      </c>
      <c r="M130" s="149" t="s">
        <v>232</v>
      </c>
      <c r="N130" s="196"/>
      <c r="O130" s="196"/>
      <c r="P130" s="196"/>
      <c r="Q130" s="196"/>
      <c r="R130" s="196"/>
      <c r="S130" s="196"/>
      <c r="T130" s="196"/>
      <c r="U130" s="196"/>
      <c r="V130" s="196"/>
      <c r="W130" s="196"/>
      <c r="X130" s="197"/>
      <c r="Y130" s="147"/>
      <c r="Z130" s="105"/>
      <c r="AA130" s="105"/>
      <c r="AB130" s="106"/>
      <c r="AC130" s="365"/>
      <c r="AD130" s="365"/>
      <c r="AE130" s="365"/>
      <c r="AF130" s="365"/>
      <c r="AI130" s="119" t="str">
        <f>"16:field153:" &amp; IF(I130="■",1,IF(L130="■",2,0))</f>
        <v>16:field153:0</v>
      </c>
    </row>
    <row r="131" spans="1:37" s="119" customFormat="1" ht="18.75" customHeight="1" x14ac:dyDescent="0.15">
      <c r="A131" s="107"/>
      <c r="B131" s="108"/>
      <c r="C131" s="109"/>
      <c r="D131" s="110"/>
      <c r="E131" s="111"/>
      <c r="F131" s="110"/>
      <c r="G131" s="165"/>
      <c r="H131" s="157" t="s">
        <v>175</v>
      </c>
      <c r="I131" s="152" t="s">
        <v>348</v>
      </c>
      <c r="J131" s="149" t="s">
        <v>216</v>
      </c>
      <c r="K131" s="150"/>
      <c r="L131" s="152" t="s">
        <v>348</v>
      </c>
      <c r="M131" s="149" t="s">
        <v>232</v>
      </c>
      <c r="N131" s="196"/>
      <c r="O131" s="196"/>
      <c r="P131" s="196"/>
      <c r="Q131" s="196"/>
      <c r="R131" s="196"/>
      <c r="S131" s="196"/>
      <c r="T131" s="196"/>
      <c r="U131" s="196"/>
      <c r="V131" s="196"/>
      <c r="W131" s="196"/>
      <c r="X131" s="197"/>
      <c r="Y131" s="147"/>
      <c r="Z131" s="105"/>
      <c r="AA131" s="105"/>
      <c r="AB131" s="106"/>
      <c r="AC131" s="365"/>
      <c r="AD131" s="365"/>
      <c r="AE131" s="365"/>
      <c r="AF131" s="365"/>
      <c r="AI131" s="119" t="str">
        <f>"16:field212:" &amp; IF(I131="■",1,IF(L131="■",2,0))</f>
        <v>16:field212:0</v>
      </c>
    </row>
    <row r="132" spans="1:37" s="119" customFormat="1" ht="18.75" customHeight="1" x14ac:dyDescent="0.15">
      <c r="A132" s="107"/>
      <c r="B132" s="108"/>
      <c r="C132" s="109"/>
      <c r="D132" s="110"/>
      <c r="E132" s="111"/>
      <c r="F132" s="110"/>
      <c r="G132" s="165"/>
      <c r="H132" s="157" t="s">
        <v>197</v>
      </c>
      <c r="I132" s="152" t="s">
        <v>348</v>
      </c>
      <c r="J132" s="149" t="s">
        <v>216</v>
      </c>
      <c r="K132" s="150"/>
      <c r="L132" s="152" t="s">
        <v>348</v>
      </c>
      <c r="M132" s="149" t="s">
        <v>232</v>
      </c>
      <c r="N132" s="196"/>
      <c r="O132" s="196"/>
      <c r="P132" s="196"/>
      <c r="Q132" s="196"/>
      <c r="R132" s="196"/>
      <c r="S132" s="196"/>
      <c r="T132" s="196"/>
      <c r="U132" s="196"/>
      <c r="V132" s="196"/>
      <c r="W132" s="196"/>
      <c r="X132" s="197"/>
      <c r="Y132" s="147"/>
      <c r="Z132" s="105"/>
      <c r="AA132" s="105"/>
      <c r="AB132" s="106"/>
      <c r="AC132" s="365"/>
      <c r="AD132" s="365"/>
      <c r="AE132" s="365"/>
      <c r="AF132" s="365"/>
      <c r="AI132" s="119" t="str">
        <f>"16:field150:" &amp; IF(I132="■",1,IF(L132="■",2,0))</f>
        <v>16:field150:0</v>
      </c>
    </row>
    <row r="133" spans="1:37" s="119" customFormat="1" ht="18.75" customHeight="1" x14ac:dyDescent="0.15">
      <c r="A133" s="107"/>
      <c r="B133" s="108"/>
      <c r="C133" s="109"/>
      <c r="D133" s="110"/>
      <c r="E133" s="111"/>
      <c r="F133" s="110"/>
      <c r="G133" s="165"/>
      <c r="H133" s="230" t="s">
        <v>111</v>
      </c>
      <c r="I133" s="152" t="s">
        <v>348</v>
      </c>
      <c r="J133" s="149" t="s">
        <v>216</v>
      </c>
      <c r="K133" s="149"/>
      <c r="L133" s="152" t="s">
        <v>348</v>
      </c>
      <c r="M133" s="149" t="s">
        <v>260</v>
      </c>
      <c r="N133" s="149"/>
      <c r="O133" s="152" t="s">
        <v>348</v>
      </c>
      <c r="P133" s="149" t="s">
        <v>242</v>
      </c>
      <c r="Q133" s="149"/>
      <c r="R133" s="152" t="s">
        <v>348</v>
      </c>
      <c r="S133" s="149" t="s">
        <v>261</v>
      </c>
      <c r="T133" s="196"/>
      <c r="U133" s="196"/>
      <c r="V133" s="196"/>
      <c r="W133" s="196"/>
      <c r="X133" s="197"/>
      <c r="Y133" s="147"/>
      <c r="Z133" s="105"/>
      <c r="AA133" s="105"/>
      <c r="AB133" s="106"/>
      <c r="AC133" s="365"/>
      <c r="AD133" s="365"/>
      <c r="AE133" s="365"/>
      <c r="AF133" s="365"/>
      <c r="AI133" s="119" t="str">
        <f>"16:serteikyo_kyoka_code:" &amp; IF(I133="■",1,IF(L133="■",5,IF(O133="■",4,IF(R133="■",6,0))))</f>
        <v>16:serteikyo_kyoka_code:0</v>
      </c>
    </row>
    <row r="134" spans="1:37" s="119" customFormat="1" ht="18.75" customHeight="1" x14ac:dyDescent="0.15">
      <c r="A134" s="170"/>
      <c r="B134" s="171"/>
      <c r="C134" s="172"/>
      <c r="D134" s="173"/>
      <c r="E134" s="174"/>
      <c r="F134" s="175"/>
      <c r="G134" s="176"/>
      <c r="H134" s="95" t="s">
        <v>405</v>
      </c>
      <c r="I134" s="177" t="s">
        <v>348</v>
      </c>
      <c r="J134" s="96" t="s">
        <v>216</v>
      </c>
      <c r="K134" s="96"/>
      <c r="L134" s="178" t="s">
        <v>348</v>
      </c>
      <c r="M134" s="96" t="s">
        <v>373</v>
      </c>
      <c r="N134" s="97"/>
      <c r="O134" s="178" t="s">
        <v>348</v>
      </c>
      <c r="P134" s="99" t="s">
        <v>374</v>
      </c>
      <c r="Q134" s="98"/>
      <c r="R134" s="178" t="s">
        <v>348</v>
      </c>
      <c r="S134" s="96" t="s">
        <v>375</v>
      </c>
      <c r="T134" s="98"/>
      <c r="U134" s="178" t="s">
        <v>348</v>
      </c>
      <c r="V134" s="96" t="s">
        <v>376</v>
      </c>
      <c r="W134" s="100"/>
      <c r="X134" s="101"/>
      <c r="Y134" s="179"/>
      <c r="Z134" s="179"/>
      <c r="AA134" s="179"/>
      <c r="AB134" s="180"/>
      <c r="AC134" s="366"/>
      <c r="AD134" s="366"/>
      <c r="AE134" s="366"/>
      <c r="AF134" s="366"/>
      <c r="AI134" s="119" t="str">
        <f>"16:shoguukaizen_code:"&amp;IF(I134="■",1,IF(L134="■",7,IF(O134="■",8,IF(R134="■",9,IF(U134="■","A",0)))))</f>
        <v>16:shoguukaizen_code:0</v>
      </c>
    </row>
    <row r="135" spans="1:37" s="119" customFormat="1" ht="18.75" customHeight="1" x14ac:dyDescent="0.15">
      <c r="A135" s="130"/>
      <c r="B135" s="131"/>
      <c r="C135" s="132"/>
      <c r="D135" s="133"/>
      <c r="E135" s="126"/>
      <c r="F135" s="134"/>
      <c r="G135" s="135"/>
      <c r="H135" s="214" t="s">
        <v>163</v>
      </c>
      <c r="I135" s="183" t="s">
        <v>348</v>
      </c>
      <c r="J135" s="184" t="s">
        <v>265</v>
      </c>
      <c r="K135" s="185"/>
      <c r="L135" s="186"/>
      <c r="M135" s="187" t="s">
        <v>348</v>
      </c>
      <c r="N135" s="184" t="s">
        <v>266</v>
      </c>
      <c r="O135" s="222"/>
      <c r="P135" s="222"/>
      <c r="Q135" s="222"/>
      <c r="R135" s="222"/>
      <c r="S135" s="222"/>
      <c r="T135" s="222"/>
      <c r="U135" s="222"/>
      <c r="V135" s="222"/>
      <c r="W135" s="222"/>
      <c r="X135" s="223"/>
      <c r="Y135" s="140" t="s">
        <v>348</v>
      </c>
      <c r="Z135" s="124" t="s">
        <v>215</v>
      </c>
      <c r="AA135" s="124"/>
      <c r="AB135" s="139"/>
      <c r="AC135" s="140" t="s">
        <v>348</v>
      </c>
      <c r="AD135" s="124" t="s">
        <v>215</v>
      </c>
      <c r="AE135" s="124"/>
      <c r="AF135" s="139"/>
      <c r="AG135" s="119" t="str">
        <f>"ser_code = '" &amp; IF(A150="■",21,"") &amp; "'"</f>
        <v>ser_code = ''</v>
      </c>
      <c r="AI135" s="119" t="str">
        <f>"21:yakan_kinmu_code:" &amp; IF(I135="■",1,IF(M135="■",6,0))</f>
        <v>21:yakan_kinmu_code:0</v>
      </c>
      <c r="AJ135" s="119" t="str">
        <f>"21:field203:" &amp; IF(Y135="■",1,IF(Y136="■",2,0))</f>
        <v>21:field203:0</v>
      </c>
      <c r="AK135" s="119" t="str">
        <f>"21:waribiki_code:" &amp; IF(AC135="■",1,IF(AC136="■",2,0))</f>
        <v>21:waribiki_code:0</v>
      </c>
    </row>
    <row r="136" spans="1:37" s="119" customFormat="1" ht="18.75" customHeight="1" x14ac:dyDescent="0.15">
      <c r="A136" s="107"/>
      <c r="B136" s="108"/>
      <c r="C136" s="109"/>
      <c r="D136" s="110"/>
      <c r="E136" s="111"/>
      <c r="F136" s="112"/>
      <c r="G136" s="113"/>
      <c r="H136" s="230" t="s">
        <v>162</v>
      </c>
      <c r="I136" s="148" t="s">
        <v>348</v>
      </c>
      <c r="J136" s="149" t="s">
        <v>216</v>
      </c>
      <c r="K136" s="149"/>
      <c r="L136" s="151"/>
      <c r="M136" s="152" t="s">
        <v>348</v>
      </c>
      <c r="N136" s="149" t="s">
        <v>246</v>
      </c>
      <c r="O136" s="149"/>
      <c r="P136" s="151"/>
      <c r="Q136" s="152" t="s">
        <v>348</v>
      </c>
      <c r="R136" s="196" t="s">
        <v>247</v>
      </c>
      <c r="S136" s="196"/>
      <c r="T136" s="196"/>
      <c r="U136" s="196"/>
      <c r="V136" s="196"/>
      <c r="W136" s="196"/>
      <c r="X136" s="197"/>
      <c r="Y136" s="123" t="s">
        <v>348</v>
      </c>
      <c r="Z136" s="104" t="s">
        <v>221</v>
      </c>
      <c r="AA136" s="105"/>
      <c r="AB136" s="106"/>
      <c r="AC136" s="128" t="s">
        <v>348</v>
      </c>
      <c r="AD136" s="104" t="s">
        <v>221</v>
      </c>
      <c r="AE136" s="105"/>
      <c r="AF136" s="106"/>
      <c r="AG136" s="119" t="str">
        <f>"21:sisetukbn_code:" &amp; IF(D149="■",1,IF(D150="■",2,IF(D151="■",3,IF(D152="■",4,0))))</f>
        <v>21:sisetukbn_code:0</v>
      </c>
      <c r="AI136" s="119" t="str">
        <f>"21:"&amp;IF(AND(I136="□",M136="□",Q136="□"),"ketu_kangos_code:0",IF(I136="■","ketu_kangos_code:1:ketu_kshoku_code:1",IF(M136="■","ketu_kangos_code:2","ketu_kangos_code:1")&amp;IF(Q136="■",":ketu_kshoku_code:2",":ketu_kshoku_code:1")))</f>
        <v>21:ketu_kangos_code:0</v>
      </c>
    </row>
    <row r="137" spans="1:37" s="119" customFormat="1" ht="18.75" customHeight="1" x14ac:dyDescent="0.15">
      <c r="A137" s="107"/>
      <c r="B137" s="108"/>
      <c r="C137" s="109"/>
      <c r="D137" s="110"/>
      <c r="E137" s="111"/>
      <c r="F137" s="112"/>
      <c r="G137" s="113"/>
      <c r="H137" s="230" t="s">
        <v>97</v>
      </c>
      <c r="I137" s="148" t="s">
        <v>348</v>
      </c>
      <c r="J137" s="149" t="s">
        <v>230</v>
      </c>
      <c r="K137" s="150"/>
      <c r="L137" s="151"/>
      <c r="M137" s="152" t="s">
        <v>348</v>
      </c>
      <c r="N137" s="149" t="s">
        <v>231</v>
      </c>
      <c r="O137" s="154"/>
      <c r="P137" s="196"/>
      <c r="Q137" s="196"/>
      <c r="R137" s="196"/>
      <c r="S137" s="196"/>
      <c r="T137" s="196"/>
      <c r="U137" s="196"/>
      <c r="V137" s="196"/>
      <c r="W137" s="196"/>
      <c r="X137" s="197"/>
      <c r="Y137" s="147"/>
      <c r="Z137" s="105"/>
      <c r="AA137" s="105"/>
      <c r="AB137" s="106"/>
      <c r="AC137" s="147"/>
      <c r="AD137" s="105"/>
      <c r="AE137" s="105"/>
      <c r="AF137" s="106"/>
      <c r="AI137" s="119" t="str">
        <f>"21:unitcare_code:" &amp; IF(I137="■",1,IF(M137="■",2,0))</f>
        <v>21:unitcare_code:0</v>
      </c>
    </row>
    <row r="138" spans="1:37" s="119" customFormat="1" ht="18.75" customHeight="1" x14ac:dyDescent="0.15">
      <c r="A138" s="107"/>
      <c r="B138" s="108"/>
      <c r="C138" s="238"/>
      <c r="D138" s="239"/>
      <c r="E138" s="111"/>
      <c r="F138" s="112"/>
      <c r="G138" s="113"/>
      <c r="H138" s="230" t="s">
        <v>103</v>
      </c>
      <c r="I138" s="148" t="s">
        <v>348</v>
      </c>
      <c r="J138" s="149" t="s">
        <v>360</v>
      </c>
      <c r="K138" s="150"/>
      <c r="L138" s="151"/>
      <c r="M138" s="152" t="s">
        <v>348</v>
      </c>
      <c r="N138" s="149" t="s">
        <v>361</v>
      </c>
      <c r="O138" s="150"/>
      <c r="P138" s="150"/>
      <c r="Q138" s="150"/>
      <c r="R138" s="150"/>
      <c r="S138" s="150"/>
      <c r="T138" s="150"/>
      <c r="U138" s="150"/>
      <c r="V138" s="150"/>
      <c r="W138" s="150"/>
      <c r="X138" s="159"/>
      <c r="Y138" s="147"/>
      <c r="Z138" s="105"/>
      <c r="AA138" s="105"/>
      <c r="AB138" s="106"/>
      <c r="AC138" s="147"/>
      <c r="AD138" s="105"/>
      <c r="AE138" s="105"/>
      <c r="AF138" s="106"/>
      <c r="AI138" s="119" t="str">
        <f>"21:sintaikousoku_code:" &amp; IF(I138="■",1,IF(M138="■",2,0))</f>
        <v>21:sintaikousoku_code:0</v>
      </c>
    </row>
    <row r="139" spans="1:37" s="119" customFormat="1" ht="19.5" customHeight="1" x14ac:dyDescent="0.15">
      <c r="A139" s="107"/>
      <c r="B139" s="108"/>
      <c r="C139" s="109"/>
      <c r="D139" s="110"/>
      <c r="E139" s="111"/>
      <c r="F139" s="112"/>
      <c r="G139" s="113"/>
      <c r="H139" s="114" t="s">
        <v>369</v>
      </c>
      <c r="I139" s="148" t="s">
        <v>348</v>
      </c>
      <c r="J139" s="149" t="s">
        <v>360</v>
      </c>
      <c r="K139" s="150"/>
      <c r="L139" s="151"/>
      <c r="M139" s="152" t="s">
        <v>348</v>
      </c>
      <c r="N139" s="149" t="s">
        <v>370</v>
      </c>
      <c r="O139" s="153"/>
      <c r="P139" s="149"/>
      <c r="Q139" s="154"/>
      <c r="R139" s="154"/>
      <c r="S139" s="154"/>
      <c r="T139" s="154"/>
      <c r="U139" s="154"/>
      <c r="V139" s="154"/>
      <c r="W139" s="154"/>
      <c r="X139" s="155"/>
      <c r="Y139" s="105"/>
      <c r="Z139" s="105"/>
      <c r="AA139" s="105"/>
      <c r="AB139" s="106"/>
      <c r="AC139" s="147"/>
      <c r="AD139" s="105"/>
      <c r="AE139" s="105"/>
      <c r="AF139" s="106"/>
      <c r="AI139" s="119" t="str">
        <f>"21:field223:" &amp; IF(I139="■",1,IF(M139="■",2,0))</f>
        <v>21:field223:0</v>
      </c>
    </row>
    <row r="140" spans="1:37" s="119" customFormat="1" ht="19.5" customHeight="1" x14ac:dyDescent="0.15">
      <c r="A140" s="107"/>
      <c r="B140" s="108"/>
      <c r="C140" s="109"/>
      <c r="D140" s="110"/>
      <c r="E140" s="111"/>
      <c r="F140" s="112"/>
      <c r="G140" s="113"/>
      <c r="H140" s="114" t="s">
        <v>390</v>
      </c>
      <c r="I140" s="148" t="s">
        <v>348</v>
      </c>
      <c r="J140" s="149" t="s">
        <v>360</v>
      </c>
      <c r="K140" s="150"/>
      <c r="L140" s="151"/>
      <c r="M140" s="152" t="s">
        <v>348</v>
      </c>
      <c r="N140" s="149" t="s">
        <v>370</v>
      </c>
      <c r="O140" s="153"/>
      <c r="P140" s="149"/>
      <c r="Q140" s="154"/>
      <c r="R140" s="154"/>
      <c r="S140" s="154"/>
      <c r="T140" s="154"/>
      <c r="U140" s="154"/>
      <c r="V140" s="154"/>
      <c r="W140" s="154"/>
      <c r="X140" s="155"/>
      <c r="Y140" s="105"/>
      <c r="Z140" s="105"/>
      <c r="AA140" s="105"/>
      <c r="AB140" s="106"/>
      <c r="AC140" s="147"/>
      <c r="AD140" s="105"/>
      <c r="AE140" s="105"/>
      <c r="AF140" s="106"/>
      <c r="AI140" s="119" t="str">
        <f>"21:field232:" &amp; IF(I140="■",1,IF(M140="■",2,0))</f>
        <v>21:field232:0</v>
      </c>
    </row>
    <row r="141" spans="1:37" s="119" customFormat="1" ht="18.75" customHeight="1" x14ac:dyDescent="0.15">
      <c r="A141" s="107"/>
      <c r="B141" s="108"/>
      <c r="C141" s="109"/>
      <c r="D141" s="110"/>
      <c r="E141" s="111"/>
      <c r="F141" s="112"/>
      <c r="G141" s="113"/>
      <c r="H141" s="329" t="s">
        <v>148</v>
      </c>
      <c r="I141" s="358" t="s">
        <v>348</v>
      </c>
      <c r="J141" s="359" t="s">
        <v>216</v>
      </c>
      <c r="K141" s="359"/>
      <c r="L141" s="360" t="s">
        <v>348</v>
      </c>
      <c r="M141" s="359" t="s">
        <v>232</v>
      </c>
      <c r="N141" s="359"/>
      <c r="O141" s="160"/>
      <c r="P141" s="160"/>
      <c r="Q141" s="160"/>
      <c r="R141" s="160"/>
      <c r="S141" s="160"/>
      <c r="T141" s="160"/>
      <c r="U141" s="160"/>
      <c r="V141" s="160"/>
      <c r="W141" s="160"/>
      <c r="X141" s="163"/>
      <c r="Y141" s="147"/>
      <c r="Z141" s="105"/>
      <c r="AA141" s="105"/>
      <c r="AB141" s="106"/>
      <c r="AC141" s="147"/>
      <c r="AD141" s="105"/>
      <c r="AE141" s="105"/>
      <c r="AF141" s="106"/>
      <c r="AI141" s="119" t="str">
        <f>"21:field189:" &amp; IF(I141="■",1,IF(L141="■",2,0))</f>
        <v>21:field189:0</v>
      </c>
    </row>
    <row r="142" spans="1:37" s="119" customFormat="1" ht="18.75" customHeight="1" x14ac:dyDescent="0.15">
      <c r="A142" s="107"/>
      <c r="B142" s="108"/>
      <c r="C142" s="109"/>
      <c r="D142" s="110"/>
      <c r="E142" s="111"/>
      <c r="F142" s="112"/>
      <c r="G142" s="113"/>
      <c r="H142" s="328"/>
      <c r="I142" s="358"/>
      <c r="J142" s="359"/>
      <c r="K142" s="359"/>
      <c r="L142" s="360"/>
      <c r="M142" s="359"/>
      <c r="N142" s="359"/>
      <c r="O142" s="115"/>
      <c r="P142" s="115"/>
      <c r="Q142" s="115"/>
      <c r="R142" s="115"/>
      <c r="S142" s="115"/>
      <c r="T142" s="115"/>
      <c r="U142" s="115"/>
      <c r="V142" s="115"/>
      <c r="W142" s="115"/>
      <c r="X142" s="161"/>
      <c r="Y142" s="147"/>
      <c r="Z142" s="105"/>
      <c r="AA142" s="105"/>
      <c r="AB142" s="106"/>
      <c r="AC142" s="147"/>
      <c r="AD142" s="105"/>
      <c r="AE142" s="105"/>
      <c r="AF142" s="106"/>
    </row>
    <row r="143" spans="1:37" s="119" customFormat="1" ht="18.75" customHeight="1" x14ac:dyDescent="0.15">
      <c r="A143" s="107"/>
      <c r="B143" s="108"/>
      <c r="C143" s="109"/>
      <c r="D143" s="110"/>
      <c r="E143" s="111"/>
      <c r="F143" s="112"/>
      <c r="G143" s="113"/>
      <c r="H143" s="230" t="s">
        <v>135</v>
      </c>
      <c r="I143" s="148" t="s">
        <v>348</v>
      </c>
      <c r="J143" s="149" t="s">
        <v>216</v>
      </c>
      <c r="K143" s="150"/>
      <c r="L143" s="152" t="s">
        <v>348</v>
      </c>
      <c r="M143" s="149" t="s">
        <v>232</v>
      </c>
      <c r="N143" s="196"/>
      <c r="O143" s="154"/>
      <c r="P143" s="154"/>
      <c r="Q143" s="154"/>
      <c r="R143" s="154"/>
      <c r="S143" s="154"/>
      <c r="T143" s="154"/>
      <c r="U143" s="154"/>
      <c r="V143" s="154"/>
      <c r="W143" s="154"/>
      <c r="X143" s="155"/>
      <c r="Y143" s="147"/>
      <c r="Z143" s="105"/>
      <c r="AA143" s="105"/>
      <c r="AB143" s="106"/>
      <c r="AC143" s="147"/>
      <c r="AD143" s="105"/>
      <c r="AE143" s="105"/>
      <c r="AF143" s="106"/>
      <c r="AI143" s="119" t="str">
        <f>"21:field151:" &amp; IF(I143="■",1,IF(L143="■",2,0))</f>
        <v>21:field151:0</v>
      </c>
    </row>
    <row r="144" spans="1:37" s="119" customFormat="1" ht="18.75" customHeight="1" x14ac:dyDescent="0.15">
      <c r="A144" s="107"/>
      <c r="B144" s="108"/>
      <c r="C144" s="109"/>
      <c r="D144" s="110"/>
      <c r="E144" s="111"/>
      <c r="F144" s="112"/>
      <c r="G144" s="113"/>
      <c r="H144" s="157" t="s">
        <v>164</v>
      </c>
      <c r="I144" s="148" t="s">
        <v>348</v>
      </c>
      <c r="J144" s="149" t="s">
        <v>216</v>
      </c>
      <c r="K144" s="149"/>
      <c r="L144" s="152" t="s">
        <v>348</v>
      </c>
      <c r="M144" s="149" t="s">
        <v>233</v>
      </c>
      <c r="N144" s="149"/>
      <c r="O144" s="152" t="s">
        <v>348</v>
      </c>
      <c r="P144" s="149" t="s">
        <v>234</v>
      </c>
      <c r="Q144" s="196"/>
      <c r="R144" s="196"/>
      <c r="S144" s="196"/>
      <c r="T144" s="196"/>
      <c r="U144" s="196"/>
      <c r="V144" s="196"/>
      <c r="W144" s="196"/>
      <c r="X144" s="197"/>
      <c r="Y144" s="147"/>
      <c r="Z144" s="105"/>
      <c r="AA144" s="105"/>
      <c r="AB144" s="106"/>
      <c r="AC144" s="147"/>
      <c r="AD144" s="105"/>
      <c r="AE144" s="105"/>
      <c r="AF144" s="106"/>
      <c r="AI144" s="119" t="str">
        <f>"21:field185:" &amp; IF(I144="■",1,IF(L144="■",3,IF(O144="■",2,0)))</f>
        <v>21:field185:0</v>
      </c>
    </row>
    <row r="145" spans="1:35" s="119" customFormat="1" ht="18.75" customHeight="1" x14ac:dyDescent="0.15">
      <c r="A145" s="107"/>
      <c r="B145" s="108"/>
      <c r="C145" s="109"/>
      <c r="D145" s="110"/>
      <c r="E145" s="111"/>
      <c r="F145" s="112"/>
      <c r="G145" s="113"/>
      <c r="H145" s="230" t="s">
        <v>98</v>
      </c>
      <c r="I145" s="148" t="s">
        <v>348</v>
      </c>
      <c r="J145" s="149" t="s">
        <v>216</v>
      </c>
      <c r="K145" s="150"/>
      <c r="L145" s="152" t="s">
        <v>348</v>
      </c>
      <c r="M145" s="149" t="s">
        <v>232</v>
      </c>
      <c r="N145" s="196"/>
      <c r="O145" s="154"/>
      <c r="P145" s="154"/>
      <c r="Q145" s="154"/>
      <c r="R145" s="154"/>
      <c r="S145" s="154"/>
      <c r="T145" s="154"/>
      <c r="U145" s="154"/>
      <c r="V145" s="154"/>
      <c r="W145" s="154"/>
      <c r="X145" s="155"/>
      <c r="Y145" s="147"/>
      <c r="Z145" s="105"/>
      <c r="AA145" s="105"/>
      <c r="AB145" s="106"/>
      <c r="AC145" s="147"/>
      <c r="AD145" s="105"/>
      <c r="AE145" s="105"/>
      <c r="AF145" s="106"/>
      <c r="AI145" s="119" t="str">
        <f>"21:kunren_code:" &amp; IF(I145="■",1,IF(L145="■",2,0))</f>
        <v>21:kunren_code:0</v>
      </c>
    </row>
    <row r="146" spans="1:35" s="119" customFormat="1" ht="18.75" customHeight="1" x14ac:dyDescent="0.15">
      <c r="A146" s="107"/>
      <c r="B146" s="108"/>
      <c r="C146" s="109"/>
      <c r="D146" s="110"/>
      <c r="E146" s="111"/>
      <c r="F146" s="112"/>
      <c r="G146" s="113"/>
      <c r="H146" s="157" t="s">
        <v>122</v>
      </c>
      <c r="I146" s="148" t="s">
        <v>348</v>
      </c>
      <c r="J146" s="149" t="s">
        <v>216</v>
      </c>
      <c r="K146" s="150"/>
      <c r="L146" s="152" t="s">
        <v>348</v>
      </c>
      <c r="M146" s="149" t="s">
        <v>232</v>
      </c>
      <c r="N146" s="196"/>
      <c r="O146" s="154"/>
      <c r="P146" s="154"/>
      <c r="Q146" s="154"/>
      <c r="R146" s="154"/>
      <c r="S146" s="154"/>
      <c r="T146" s="154"/>
      <c r="U146" s="154"/>
      <c r="V146" s="154"/>
      <c r="W146" s="154"/>
      <c r="X146" s="155"/>
      <c r="Y146" s="147"/>
      <c r="Z146" s="105"/>
      <c r="AA146" s="105"/>
      <c r="AB146" s="106"/>
      <c r="AC146" s="147"/>
      <c r="AD146" s="105"/>
      <c r="AE146" s="105"/>
      <c r="AF146" s="106"/>
      <c r="AI146" s="119" t="str">
        <f>"21:kobetu_kunren_code:" &amp; IF(I146="■",1,IF(L146="■",2,0))</f>
        <v>21:kobetu_kunren_code:0</v>
      </c>
    </row>
    <row r="147" spans="1:35" s="119" customFormat="1" ht="18.75" customHeight="1" x14ac:dyDescent="0.15">
      <c r="A147" s="107"/>
      <c r="B147" s="108"/>
      <c r="C147" s="109"/>
      <c r="D147" s="110"/>
      <c r="E147" s="111"/>
      <c r="F147" s="112"/>
      <c r="G147" s="113"/>
      <c r="H147" s="230" t="s">
        <v>154</v>
      </c>
      <c r="I147" s="148" t="s">
        <v>348</v>
      </c>
      <c r="J147" s="149" t="s">
        <v>216</v>
      </c>
      <c r="K147" s="149"/>
      <c r="L147" s="152" t="s">
        <v>348</v>
      </c>
      <c r="M147" s="149" t="s">
        <v>217</v>
      </c>
      <c r="N147" s="149"/>
      <c r="O147" s="152" t="s">
        <v>348</v>
      </c>
      <c r="P147" s="149" t="s">
        <v>267</v>
      </c>
      <c r="Q147" s="196"/>
      <c r="R147" s="196"/>
      <c r="S147" s="196"/>
      <c r="T147" s="196"/>
      <c r="U147" s="196"/>
      <c r="V147" s="196"/>
      <c r="W147" s="196"/>
      <c r="X147" s="197"/>
      <c r="Y147" s="147"/>
      <c r="Z147" s="105"/>
      <c r="AA147" s="105"/>
      <c r="AB147" s="106"/>
      <c r="AC147" s="147"/>
      <c r="AD147" s="105"/>
      <c r="AE147" s="105"/>
      <c r="AF147" s="106"/>
      <c r="AI147" s="119" t="str">
        <f>"21:field158:" &amp; IF(I147="■",1,IF(O147="■",3,IF(L147="■",2,0)))</f>
        <v>21:field158:0</v>
      </c>
    </row>
    <row r="148" spans="1:35" s="119" customFormat="1" ht="18.75" customHeight="1" x14ac:dyDescent="0.15">
      <c r="A148" s="107"/>
      <c r="B148" s="108"/>
      <c r="C148" s="109"/>
      <c r="D148" s="110"/>
      <c r="E148" s="111"/>
      <c r="F148" s="112"/>
      <c r="G148" s="113"/>
      <c r="H148" s="230" t="s">
        <v>155</v>
      </c>
      <c r="I148" s="148" t="s">
        <v>348</v>
      </c>
      <c r="J148" s="149" t="s">
        <v>216</v>
      </c>
      <c r="K148" s="149"/>
      <c r="L148" s="152" t="s">
        <v>348</v>
      </c>
      <c r="M148" s="149" t="s">
        <v>234</v>
      </c>
      <c r="N148" s="149"/>
      <c r="O148" s="152" t="s">
        <v>348</v>
      </c>
      <c r="P148" s="149" t="s">
        <v>268</v>
      </c>
      <c r="Q148" s="196"/>
      <c r="R148" s="196"/>
      <c r="S148" s="196"/>
      <c r="T148" s="196"/>
      <c r="U148" s="196"/>
      <c r="V148" s="196"/>
      <c r="W148" s="196"/>
      <c r="X148" s="197"/>
      <c r="Y148" s="147"/>
      <c r="Z148" s="105"/>
      <c r="AA148" s="105"/>
      <c r="AB148" s="106"/>
      <c r="AC148" s="147"/>
      <c r="AD148" s="105"/>
      <c r="AE148" s="105"/>
      <c r="AF148" s="106"/>
      <c r="AI148" s="119" t="str">
        <f>"21:field159:" &amp; IF(I148="■",1,IF(O148="■",3,IF(L148="■",2,0)))</f>
        <v>21:field159:0</v>
      </c>
    </row>
    <row r="149" spans="1:35" s="119" customFormat="1" ht="18.75" customHeight="1" x14ac:dyDescent="0.15">
      <c r="A149" s="107"/>
      <c r="B149" s="108"/>
      <c r="C149" s="109"/>
      <c r="D149" s="123" t="s">
        <v>348</v>
      </c>
      <c r="E149" s="111" t="s">
        <v>274</v>
      </c>
      <c r="F149" s="112"/>
      <c r="G149" s="113"/>
      <c r="H149" s="230" t="s">
        <v>121</v>
      </c>
      <c r="I149" s="148" t="s">
        <v>348</v>
      </c>
      <c r="J149" s="149" t="s">
        <v>216</v>
      </c>
      <c r="K149" s="150"/>
      <c r="L149" s="152" t="s">
        <v>348</v>
      </c>
      <c r="M149" s="149" t="s">
        <v>232</v>
      </c>
      <c r="N149" s="196"/>
      <c r="O149" s="154"/>
      <c r="P149" s="154"/>
      <c r="Q149" s="154"/>
      <c r="R149" s="154"/>
      <c r="S149" s="154"/>
      <c r="T149" s="154"/>
      <c r="U149" s="154"/>
      <c r="V149" s="154"/>
      <c r="W149" s="154"/>
      <c r="X149" s="155"/>
      <c r="Y149" s="147"/>
      <c r="Z149" s="105"/>
      <c r="AA149" s="105"/>
      <c r="AB149" s="106"/>
      <c r="AC149" s="147"/>
      <c r="AD149" s="105"/>
      <c r="AE149" s="105"/>
      <c r="AF149" s="106"/>
      <c r="AI149" s="119" t="str">
        <f>"21:field160:" &amp; IF(I149="■",1,IF(L149="■",2,0))</f>
        <v>21:field160:0</v>
      </c>
    </row>
    <row r="150" spans="1:35" s="119" customFormat="1" ht="18.75" customHeight="1" x14ac:dyDescent="0.15">
      <c r="A150" s="128" t="s">
        <v>348</v>
      </c>
      <c r="B150" s="108">
        <v>21</v>
      </c>
      <c r="C150" s="109" t="s">
        <v>188</v>
      </c>
      <c r="D150" s="123" t="s">
        <v>348</v>
      </c>
      <c r="E150" s="111" t="s">
        <v>275</v>
      </c>
      <c r="F150" s="112"/>
      <c r="G150" s="113"/>
      <c r="H150" s="190" t="s">
        <v>377</v>
      </c>
      <c r="I150" s="143" t="s">
        <v>348</v>
      </c>
      <c r="J150" s="115" t="s">
        <v>216</v>
      </c>
      <c r="K150" s="166"/>
      <c r="L150" s="191" t="s">
        <v>348</v>
      </c>
      <c r="M150" s="115" t="s">
        <v>232</v>
      </c>
      <c r="N150" s="144"/>
      <c r="O150" s="144"/>
      <c r="P150" s="144"/>
      <c r="Q150" s="145"/>
      <c r="R150" s="145"/>
      <c r="S150" s="145"/>
      <c r="T150" s="145"/>
      <c r="U150" s="145"/>
      <c r="V150" s="145"/>
      <c r="W150" s="145"/>
      <c r="X150" s="146"/>
      <c r="Y150" s="147"/>
      <c r="Z150" s="105"/>
      <c r="AA150" s="105"/>
      <c r="AB150" s="106"/>
      <c r="AC150" s="147"/>
      <c r="AD150" s="105"/>
      <c r="AE150" s="105"/>
      <c r="AF150" s="106"/>
      <c r="AI150" s="119" t="str">
        <f>"21:field171:" &amp; IF(I150="■",1,IF(L150="■",2,0))</f>
        <v>21:field171:0</v>
      </c>
    </row>
    <row r="151" spans="1:35" s="119" customFormat="1" ht="18.75" customHeight="1" x14ac:dyDescent="0.15">
      <c r="A151" s="107"/>
      <c r="B151" s="108"/>
      <c r="C151" s="109"/>
      <c r="D151" s="123" t="s">
        <v>348</v>
      </c>
      <c r="E151" s="111" t="s">
        <v>276</v>
      </c>
      <c r="F151" s="112"/>
      <c r="G151" s="113"/>
      <c r="H151" s="230" t="s">
        <v>105</v>
      </c>
      <c r="I151" s="148" t="s">
        <v>348</v>
      </c>
      <c r="J151" s="149" t="s">
        <v>216</v>
      </c>
      <c r="K151" s="154"/>
      <c r="L151" s="152" t="s">
        <v>348</v>
      </c>
      <c r="M151" s="149" t="s">
        <v>269</v>
      </c>
      <c r="N151" s="154"/>
      <c r="O151" s="154"/>
      <c r="P151" s="154"/>
      <c r="Q151" s="152" t="s">
        <v>348</v>
      </c>
      <c r="R151" s="196" t="s">
        <v>270</v>
      </c>
      <c r="S151" s="154"/>
      <c r="T151" s="154"/>
      <c r="U151" s="154"/>
      <c r="V151" s="154"/>
      <c r="W151" s="154"/>
      <c r="X151" s="155"/>
      <c r="Y151" s="147"/>
      <c r="Z151" s="105"/>
      <c r="AA151" s="105"/>
      <c r="AB151" s="106"/>
      <c r="AC151" s="147"/>
      <c r="AD151" s="105"/>
      <c r="AE151" s="105"/>
      <c r="AF151" s="106"/>
      <c r="AI151" s="119" t="str">
        <f>"21:yakinhaiti_code:" &amp; IF(I151="■",1,IF(Q151="■",3,IF(L151="■",2,0)))</f>
        <v>21:yakinhaiti_code:0</v>
      </c>
    </row>
    <row r="152" spans="1:35" s="119" customFormat="1" ht="18.75" customHeight="1" x14ac:dyDescent="0.15">
      <c r="A152" s="107"/>
      <c r="B152" s="108"/>
      <c r="C152" s="109"/>
      <c r="D152" s="123" t="s">
        <v>348</v>
      </c>
      <c r="E152" s="111" t="s">
        <v>277</v>
      </c>
      <c r="F152" s="112"/>
      <c r="G152" s="113"/>
      <c r="H152" s="329" t="s">
        <v>199</v>
      </c>
      <c r="I152" s="358" t="s">
        <v>348</v>
      </c>
      <c r="J152" s="359" t="s">
        <v>216</v>
      </c>
      <c r="K152" s="359"/>
      <c r="L152" s="360" t="s">
        <v>348</v>
      </c>
      <c r="M152" s="359" t="s">
        <v>232</v>
      </c>
      <c r="N152" s="359"/>
      <c r="O152" s="160"/>
      <c r="P152" s="160"/>
      <c r="Q152" s="160"/>
      <c r="R152" s="160"/>
      <c r="S152" s="160"/>
      <c r="T152" s="160"/>
      <c r="U152" s="160"/>
      <c r="V152" s="160"/>
      <c r="W152" s="160"/>
      <c r="X152" s="163"/>
      <c r="Y152" s="147"/>
      <c r="Z152" s="105"/>
      <c r="AA152" s="105"/>
      <c r="AB152" s="106"/>
      <c r="AC152" s="147"/>
      <c r="AD152" s="105"/>
      <c r="AE152" s="105"/>
      <c r="AF152" s="106"/>
      <c r="AI152" s="119" t="str">
        <f>"21:field161:" &amp; IF(I152="■",1,IF(L152="■",2,0))</f>
        <v>21:field161:0</v>
      </c>
    </row>
    <row r="153" spans="1:35" s="119" customFormat="1" ht="18.75" customHeight="1" x14ac:dyDescent="0.15">
      <c r="A153" s="107"/>
      <c r="B153" s="108"/>
      <c r="C153" s="109"/>
      <c r="D153" s="110"/>
      <c r="E153" s="111"/>
      <c r="F153" s="112"/>
      <c r="G153" s="113"/>
      <c r="H153" s="328"/>
      <c r="I153" s="358"/>
      <c r="J153" s="359"/>
      <c r="K153" s="359"/>
      <c r="L153" s="360"/>
      <c r="M153" s="359"/>
      <c r="N153" s="359"/>
      <c r="O153" s="115"/>
      <c r="P153" s="115"/>
      <c r="Q153" s="115"/>
      <c r="R153" s="115"/>
      <c r="S153" s="115"/>
      <c r="T153" s="115"/>
      <c r="U153" s="115"/>
      <c r="V153" s="115"/>
      <c r="W153" s="115"/>
      <c r="X153" s="161"/>
      <c r="Y153" s="147"/>
      <c r="Z153" s="105"/>
      <c r="AA153" s="105"/>
      <c r="AB153" s="106"/>
      <c r="AC153" s="147"/>
      <c r="AD153" s="105"/>
      <c r="AE153" s="105"/>
      <c r="AF153" s="106"/>
    </row>
    <row r="154" spans="1:35" s="119" customFormat="1" ht="18.75" customHeight="1" x14ac:dyDescent="0.15">
      <c r="A154" s="107"/>
      <c r="B154" s="108"/>
      <c r="C154" s="109"/>
      <c r="D154" s="110"/>
      <c r="E154" s="111"/>
      <c r="F154" s="112"/>
      <c r="G154" s="113"/>
      <c r="H154" s="230" t="s">
        <v>104</v>
      </c>
      <c r="I154" s="148" t="s">
        <v>348</v>
      </c>
      <c r="J154" s="149" t="s">
        <v>216</v>
      </c>
      <c r="K154" s="150"/>
      <c r="L154" s="152" t="s">
        <v>348</v>
      </c>
      <c r="M154" s="149" t="s">
        <v>232</v>
      </c>
      <c r="N154" s="196"/>
      <c r="O154" s="154"/>
      <c r="P154" s="154"/>
      <c r="Q154" s="154"/>
      <c r="R154" s="154"/>
      <c r="S154" s="154"/>
      <c r="T154" s="154"/>
      <c r="U154" s="154"/>
      <c r="V154" s="154"/>
      <c r="W154" s="154"/>
      <c r="X154" s="155"/>
      <c r="Y154" s="147"/>
      <c r="Z154" s="105"/>
      <c r="AA154" s="105"/>
      <c r="AB154" s="106"/>
      <c r="AC154" s="147"/>
      <c r="AD154" s="105"/>
      <c r="AE154" s="105"/>
      <c r="AF154" s="106"/>
      <c r="AI154" s="119" t="str">
        <f>"21:jyakuninti_uke_code:" &amp; IF(I154="■",1,IF(L154="■",2,0))</f>
        <v>21:jyakuninti_uke_code:0</v>
      </c>
    </row>
    <row r="155" spans="1:35" s="119" customFormat="1" ht="18.75" customHeight="1" x14ac:dyDescent="0.15">
      <c r="A155" s="107"/>
      <c r="B155" s="108"/>
      <c r="C155" s="109"/>
      <c r="D155" s="110"/>
      <c r="E155" s="111"/>
      <c r="F155" s="112"/>
      <c r="G155" s="113"/>
      <c r="H155" s="230" t="s">
        <v>94</v>
      </c>
      <c r="I155" s="148" t="s">
        <v>348</v>
      </c>
      <c r="J155" s="149" t="s">
        <v>230</v>
      </c>
      <c r="K155" s="150"/>
      <c r="L155" s="154"/>
      <c r="M155" s="152" t="s">
        <v>348</v>
      </c>
      <c r="N155" s="149" t="s">
        <v>231</v>
      </c>
      <c r="O155" s="154"/>
      <c r="P155" s="154"/>
      <c r="Q155" s="154"/>
      <c r="R155" s="154"/>
      <c r="S155" s="154"/>
      <c r="T155" s="154"/>
      <c r="U155" s="154"/>
      <c r="V155" s="154"/>
      <c r="W155" s="154"/>
      <c r="X155" s="155"/>
      <c r="Y155" s="147"/>
      <c r="Z155" s="105"/>
      <c r="AA155" s="105"/>
      <c r="AB155" s="106"/>
      <c r="AC155" s="147"/>
      <c r="AD155" s="105"/>
      <c r="AE155" s="105"/>
      <c r="AF155" s="106"/>
      <c r="AI155" s="119" t="str">
        <f>"21:sougei_code:" &amp; IF(I155="■",1,IF(M155="■",2,0))</f>
        <v>21:sougei_code:0</v>
      </c>
    </row>
    <row r="156" spans="1:35" s="119" customFormat="1" ht="19.5" customHeight="1" x14ac:dyDescent="0.15">
      <c r="A156" s="107"/>
      <c r="B156" s="108"/>
      <c r="C156" s="109"/>
      <c r="D156" s="110"/>
      <c r="E156" s="111"/>
      <c r="F156" s="112"/>
      <c r="G156" s="113"/>
      <c r="H156" s="114" t="s">
        <v>372</v>
      </c>
      <c r="I156" s="148" t="s">
        <v>348</v>
      </c>
      <c r="J156" s="149" t="s">
        <v>216</v>
      </c>
      <c r="K156" s="149"/>
      <c r="L156" s="152" t="s">
        <v>348</v>
      </c>
      <c r="M156" s="149" t="s">
        <v>232</v>
      </c>
      <c r="N156" s="149"/>
      <c r="O156" s="154"/>
      <c r="P156" s="149"/>
      <c r="Q156" s="154"/>
      <c r="R156" s="154"/>
      <c r="S156" s="154"/>
      <c r="T156" s="154"/>
      <c r="U156" s="154"/>
      <c r="V156" s="154"/>
      <c r="W156" s="154"/>
      <c r="X156" s="155"/>
      <c r="Y156" s="105"/>
      <c r="Z156" s="105"/>
      <c r="AA156" s="105"/>
      <c r="AB156" s="106"/>
      <c r="AC156" s="147"/>
      <c r="AD156" s="105"/>
      <c r="AE156" s="105"/>
      <c r="AF156" s="106"/>
      <c r="AI156" s="119" t="str">
        <f>"21:field224:" &amp; IF(I156="■",1,IF(L156="■",2,0))</f>
        <v>21:field224:0</v>
      </c>
    </row>
    <row r="157" spans="1:35" s="119" customFormat="1" ht="18.75" customHeight="1" x14ac:dyDescent="0.15">
      <c r="A157" s="107"/>
      <c r="B157" s="108"/>
      <c r="C157" s="109"/>
      <c r="D157" s="110"/>
      <c r="E157" s="111"/>
      <c r="F157" s="112"/>
      <c r="G157" s="113"/>
      <c r="H157" s="230" t="s">
        <v>106</v>
      </c>
      <c r="I157" s="148" t="s">
        <v>348</v>
      </c>
      <c r="J157" s="149" t="s">
        <v>216</v>
      </c>
      <c r="K157" s="150"/>
      <c r="L157" s="152" t="s">
        <v>348</v>
      </c>
      <c r="M157" s="149" t="s">
        <v>232</v>
      </c>
      <c r="N157" s="196"/>
      <c r="O157" s="154"/>
      <c r="P157" s="154"/>
      <c r="Q157" s="154"/>
      <c r="R157" s="154"/>
      <c r="S157" s="154"/>
      <c r="T157" s="154"/>
      <c r="U157" s="154"/>
      <c r="V157" s="154"/>
      <c r="W157" s="154"/>
      <c r="X157" s="155"/>
      <c r="Y157" s="147"/>
      <c r="Z157" s="105"/>
      <c r="AA157" s="105"/>
      <c r="AB157" s="106"/>
      <c r="AC157" s="147"/>
      <c r="AD157" s="105"/>
      <c r="AE157" s="105"/>
      <c r="AF157" s="106"/>
      <c r="AI157" s="119" t="str">
        <f>"21:ryouyoushoku_code:" &amp; IF(I157="■",1,IF(L157="■",2,0))</f>
        <v>21:ryouyoushoku_code:0</v>
      </c>
    </row>
    <row r="158" spans="1:35" s="119" customFormat="1" ht="18.75" customHeight="1" x14ac:dyDescent="0.15">
      <c r="A158" s="107"/>
      <c r="B158" s="108"/>
      <c r="C158" s="109"/>
      <c r="D158" s="110"/>
      <c r="E158" s="111"/>
      <c r="F158" s="112"/>
      <c r="G158" s="113"/>
      <c r="H158" s="192" t="s">
        <v>109</v>
      </c>
      <c r="I158" s="148" t="s">
        <v>348</v>
      </c>
      <c r="J158" s="149" t="s">
        <v>216</v>
      </c>
      <c r="K158" s="149"/>
      <c r="L158" s="152" t="s">
        <v>348</v>
      </c>
      <c r="M158" s="149" t="s">
        <v>217</v>
      </c>
      <c r="N158" s="149"/>
      <c r="O158" s="152" t="s">
        <v>348</v>
      </c>
      <c r="P158" s="149" t="s">
        <v>218</v>
      </c>
      <c r="Q158" s="154"/>
      <c r="R158" s="154"/>
      <c r="S158" s="154"/>
      <c r="T158" s="154"/>
      <c r="U158" s="154"/>
      <c r="V158" s="154"/>
      <c r="W158" s="154"/>
      <c r="X158" s="155"/>
      <c r="Y158" s="147"/>
      <c r="Z158" s="105"/>
      <c r="AA158" s="105"/>
      <c r="AB158" s="106"/>
      <c r="AC158" s="147"/>
      <c r="AD158" s="105"/>
      <c r="AE158" s="105"/>
      <c r="AF158" s="106"/>
      <c r="AI158" s="119" t="str">
        <f>"21:ninti_senmoncare_code:" &amp; IF(I158="■",1,IF(O158="■",3,IF(L158="■",2,0)))</f>
        <v>21:ninti_senmoncare_code:0</v>
      </c>
    </row>
    <row r="159" spans="1:35" s="119" customFormat="1" ht="18.75" customHeight="1" x14ac:dyDescent="0.15">
      <c r="A159" s="107"/>
      <c r="B159" s="108"/>
      <c r="C159" s="109"/>
      <c r="D159" s="110"/>
      <c r="E159" s="111"/>
      <c r="F159" s="112"/>
      <c r="G159" s="113"/>
      <c r="H159" s="240" t="s">
        <v>385</v>
      </c>
      <c r="I159" s="148" t="s">
        <v>348</v>
      </c>
      <c r="J159" s="149" t="s">
        <v>216</v>
      </c>
      <c r="K159" s="149"/>
      <c r="L159" s="152" t="s">
        <v>348</v>
      </c>
      <c r="M159" s="149" t="s">
        <v>217</v>
      </c>
      <c r="N159" s="149"/>
      <c r="O159" s="152" t="s">
        <v>348</v>
      </c>
      <c r="P159" s="149" t="s">
        <v>218</v>
      </c>
      <c r="Q159" s="154"/>
      <c r="R159" s="154"/>
      <c r="S159" s="154"/>
      <c r="T159" s="154"/>
      <c r="U159" s="241"/>
      <c r="V159" s="241"/>
      <c r="W159" s="241"/>
      <c r="X159" s="242"/>
      <c r="Y159" s="147"/>
      <c r="Z159" s="105"/>
      <c r="AA159" s="105"/>
      <c r="AB159" s="106"/>
      <c r="AC159" s="147"/>
      <c r="AD159" s="105"/>
      <c r="AE159" s="105"/>
      <c r="AF159" s="106"/>
      <c r="AI159" s="119" t="str">
        <f>"21:field225:" &amp; IF(I159="■",1,IF(L159="■",2,IF(O159="■",3,0)))</f>
        <v>21:field225:0</v>
      </c>
    </row>
    <row r="160" spans="1:35" s="119" customFormat="1" ht="18.75" customHeight="1" x14ac:dyDescent="0.15">
      <c r="A160" s="107"/>
      <c r="B160" s="108"/>
      <c r="C160" s="109"/>
      <c r="D160" s="110"/>
      <c r="E160" s="111"/>
      <c r="F160" s="112"/>
      <c r="G160" s="113"/>
      <c r="H160" s="329" t="s">
        <v>200</v>
      </c>
      <c r="I160" s="358" t="s">
        <v>348</v>
      </c>
      <c r="J160" s="359" t="s">
        <v>216</v>
      </c>
      <c r="K160" s="359"/>
      <c r="L160" s="360" t="s">
        <v>348</v>
      </c>
      <c r="M160" s="359" t="s">
        <v>271</v>
      </c>
      <c r="N160" s="359"/>
      <c r="O160" s="360" t="s">
        <v>348</v>
      </c>
      <c r="P160" s="359" t="s">
        <v>272</v>
      </c>
      <c r="Q160" s="359"/>
      <c r="R160" s="360" t="s">
        <v>348</v>
      </c>
      <c r="S160" s="359" t="s">
        <v>273</v>
      </c>
      <c r="T160" s="359"/>
      <c r="U160" s="160"/>
      <c r="V160" s="160"/>
      <c r="W160" s="160"/>
      <c r="X160" s="163"/>
      <c r="Y160" s="147"/>
      <c r="Z160" s="105"/>
      <c r="AA160" s="105"/>
      <c r="AB160" s="106"/>
      <c r="AC160" s="147"/>
      <c r="AD160" s="105"/>
      <c r="AE160" s="105"/>
      <c r="AF160" s="106"/>
      <c r="AI160" s="119" t="str">
        <f>"21:serteikyo_kyoka_code:" &amp; IF(I160="■",1,IF(L160="■",6,IF(O160="■",5,IF(R160="■",7,0))))</f>
        <v>21:serteikyo_kyoka_code:0</v>
      </c>
    </row>
    <row r="161" spans="1:38" s="119" customFormat="1" ht="18.75" customHeight="1" x14ac:dyDescent="0.15">
      <c r="A161" s="107"/>
      <c r="B161" s="108"/>
      <c r="C161" s="109"/>
      <c r="D161" s="110"/>
      <c r="E161" s="111"/>
      <c r="F161" s="112"/>
      <c r="G161" s="113"/>
      <c r="H161" s="328"/>
      <c r="I161" s="358"/>
      <c r="J161" s="359"/>
      <c r="K161" s="359"/>
      <c r="L161" s="360"/>
      <c r="M161" s="359"/>
      <c r="N161" s="359"/>
      <c r="O161" s="360"/>
      <c r="P161" s="359"/>
      <c r="Q161" s="359"/>
      <c r="R161" s="360"/>
      <c r="S161" s="359"/>
      <c r="T161" s="359"/>
      <c r="U161" s="115"/>
      <c r="V161" s="115"/>
      <c r="W161" s="115"/>
      <c r="X161" s="161"/>
      <c r="Y161" s="147"/>
      <c r="Z161" s="105"/>
      <c r="AA161" s="105"/>
      <c r="AB161" s="106"/>
      <c r="AC161" s="147"/>
      <c r="AD161" s="105"/>
      <c r="AE161" s="105"/>
      <c r="AF161" s="106"/>
    </row>
    <row r="162" spans="1:38" s="119" customFormat="1" ht="18.75" customHeight="1" x14ac:dyDescent="0.15">
      <c r="A162" s="107"/>
      <c r="B162" s="108"/>
      <c r="C162" s="109"/>
      <c r="D162" s="110"/>
      <c r="E162" s="111"/>
      <c r="F162" s="112"/>
      <c r="G162" s="113"/>
      <c r="H162" s="329" t="s">
        <v>201</v>
      </c>
      <c r="I162" s="358" t="s">
        <v>348</v>
      </c>
      <c r="J162" s="359" t="s">
        <v>216</v>
      </c>
      <c r="K162" s="359"/>
      <c r="L162" s="360" t="s">
        <v>348</v>
      </c>
      <c r="M162" s="359" t="s">
        <v>271</v>
      </c>
      <c r="N162" s="359"/>
      <c r="O162" s="360" t="s">
        <v>348</v>
      </c>
      <c r="P162" s="359" t="s">
        <v>272</v>
      </c>
      <c r="Q162" s="359"/>
      <c r="R162" s="360" t="s">
        <v>348</v>
      </c>
      <c r="S162" s="359" t="s">
        <v>273</v>
      </c>
      <c r="T162" s="359"/>
      <c r="U162" s="160"/>
      <c r="V162" s="160"/>
      <c r="W162" s="160"/>
      <c r="X162" s="163"/>
      <c r="Y162" s="147"/>
      <c r="Z162" s="105"/>
      <c r="AA162" s="105"/>
      <c r="AB162" s="106"/>
      <c r="AC162" s="147"/>
      <c r="AD162" s="105"/>
      <c r="AE162" s="105"/>
      <c r="AF162" s="106"/>
      <c r="AI162" s="119" t="str">
        <f>"21:serteikyo_kyoka_kuushou_code:" &amp; IF(I162="■",1,IF(L162="■",6,IF(O162="■",5,IF(R162="■",7,0))))</f>
        <v>21:serteikyo_kyoka_kuushou_code:0</v>
      </c>
    </row>
    <row r="163" spans="1:38" s="119" customFormat="1" ht="18.75" customHeight="1" x14ac:dyDescent="0.15">
      <c r="A163" s="107"/>
      <c r="B163" s="108"/>
      <c r="C163" s="109"/>
      <c r="D163" s="110"/>
      <c r="E163" s="111"/>
      <c r="F163" s="112"/>
      <c r="G163" s="113"/>
      <c r="H163" s="328"/>
      <c r="I163" s="358"/>
      <c r="J163" s="359"/>
      <c r="K163" s="359"/>
      <c r="L163" s="360"/>
      <c r="M163" s="359"/>
      <c r="N163" s="359"/>
      <c r="O163" s="360"/>
      <c r="P163" s="359"/>
      <c r="Q163" s="359"/>
      <c r="R163" s="360"/>
      <c r="S163" s="359"/>
      <c r="T163" s="359"/>
      <c r="U163" s="115"/>
      <c r="V163" s="115"/>
      <c r="W163" s="115"/>
      <c r="X163" s="161"/>
      <c r="Y163" s="147"/>
      <c r="Z163" s="105"/>
      <c r="AA163" s="105"/>
      <c r="AB163" s="106"/>
      <c r="AC163" s="147"/>
      <c r="AD163" s="105"/>
      <c r="AE163" s="105"/>
      <c r="AF163" s="106"/>
    </row>
    <row r="164" spans="1:38" s="119" customFormat="1" ht="18.75" customHeight="1" x14ac:dyDescent="0.15">
      <c r="A164" s="107"/>
      <c r="B164" s="108"/>
      <c r="C164" s="109"/>
      <c r="D164" s="110"/>
      <c r="E164" s="111"/>
      <c r="F164" s="112"/>
      <c r="G164" s="113"/>
      <c r="H164" s="329" t="s">
        <v>409</v>
      </c>
      <c r="I164" s="358" t="s">
        <v>348</v>
      </c>
      <c r="J164" s="359" t="s">
        <v>216</v>
      </c>
      <c r="K164" s="359"/>
      <c r="L164" s="360" t="s">
        <v>348</v>
      </c>
      <c r="M164" s="359" t="s">
        <v>232</v>
      </c>
      <c r="N164" s="359"/>
      <c r="O164" s="160"/>
      <c r="P164" s="160"/>
      <c r="Q164" s="160"/>
      <c r="R164" s="160"/>
      <c r="S164" s="160"/>
      <c r="T164" s="160"/>
      <c r="U164" s="160"/>
      <c r="V164" s="160"/>
      <c r="W164" s="160"/>
      <c r="X164" s="163"/>
      <c r="Y164" s="147"/>
      <c r="Z164" s="105"/>
      <c r="AA164" s="105"/>
      <c r="AB164" s="106"/>
      <c r="AC164" s="147"/>
      <c r="AD164" s="105"/>
      <c r="AE164" s="105"/>
      <c r="AF164" s="106"/>
      <c r="AI164" s="119" t="str">
        <f>"21:field221:" &amp; IF(I164="■",1,IF(L164="■",2,0))</f>
        <v>21:field221:0</v>
      </c>
    </row>
    <row r="165" spans="1:38" s="119" customFormat="1" ht="18.75" customHeight="1" x14ac:dyDescent="0.15">
      <c r="A165" s="107"/>
      <c r="B165" s="108"/>
      <c r="C165" s="109"/>
      <c r="D165" s="110"/>
      <c r="E165" s="111"/>
      <c r="F165" s="112"/>
      <c r="G165" s="113"/>
      <c r="H165" s="328"/>
      <c r="I165" s="358"/>
      <c r="J165" s="359"/>
      <c r="K165" s="359"/>
      <c r="L165" s="360"/>
      <c r="M165" s="359"/>
      <c r="N165" s="359"/>
      <c r="O165" s="115"/>
      <c r="P165" s="115"/>
      <c r="Q165" s="115"/>
      <c r="R165" s="115"/>
      <c r="S165" s="115"/>
      <c r="T165" s="115"/>
      <c r="U165" s="115"/>
      <c r="V165" s="115"/>
      <c r="W165" s="115"/>
      <c r="X165" s="161"/>
      <c r="Y165" s="147"/>
      <c r="Z165" s="105"/>
      <c r="AA165" s="105"/>
      <c r="AB165" s="106"/>
      <c r="AC165" s="147"/>
      <c r="AD165" s="105"/>
      <c r="AE165" s="105"/>
      <c r="AF165" s="106"/>
    </row>
    <row r="166" spans="1:38" s="119" customFormat="1" ht="18.75" customHeight="1" x14ac:dyDescent="0.15">
      <c r="A166" s="170"/>
      <c r="B166" s="171"/>
      <c r="C166" s="172"/>
      <c r="D166" s="173"/>
      <c r="E166" s="174"/>
      <c r="F166" s="175"/>
      <c r="G166" s="176"/>
      <c r="H166" s="95" t="s">
        <v>405</v>
      </c>
      <c r="I166" s="177" t="s">
        <v>348</v>
      </c>
      <c r="J166" s="96" t="s">
        <v>216</v>
      </c>
      <c r="K166" s="96"/>
      <c r="L166" s="178" t="s">
        <v>348</v>
      </c>
      <c r="M166" s="96" t="s">
        <v>373</v>
      </c>
      <c r="N166" s="97"/>
      <c r="O166" s="178" t="s">
        <v>348</v>
      </c>
      <c r="P166" s="99" t="s">
        <v>374</v>
      </c>
      <c r="Q166" s="98"/>
      <c r="R166" s="178" t="s">
        <v>348</v>
      </c>
      <c r="S166" s="96" t="s">
        <v>375</v>
      </c>
      <c r="T166" s="98"/>
      <c r="U166" s="178" t="s">
        <v>348</v>
      </c>
      <c r="V166" s="96" t="s">
        <v>376</v>
      </c>
      <c r="W166" s="100"/>
      <c r="X166" s="101"/>
      <c r="Y166" s="179"/>
      <c r="Z166" s="179"/>
      <c r="AA166" s="179"/>
      <c r="AB166" s="180"/>
      <c r="AC166" s="181"/>
      <c r="AD166" s="179"/>
      <c r="AE166" s="179"/>
      <c r="AF166" s="180"/>
      <c r="AI166" s="119" t="str">
        <f>"21:shoguukaizen_code:"&amp;IF(I166="■",1,IF(L166="■",7,IF(O166="■",8,IF(R166="■",9,IF(U166="■","A",0)))))</f>
        <v>21:shoguukaizen_code:0</v>
      </c>
    </row>
    <row r="167" spans="1:38" s="119" customFormat="1" ht="18.75" customHeight="1" x14ac:dyDescent="0.15">
      <c r="A167" s="130"/>
      <c r="B167" s="131"/>
      <c r="C167" s="132"/>
      <c r="D167" s="133"/>
      <c r="E167" s="126"/>
      <c r="F167" s="134"/>
      <c r="G167" s="126"/>
      <c r="H167" s="243" t="s">
        <v>96</v>
      </c>
      <c r="I167" s="183" t="s">
        <v>348</v>
      </c>
      <c r="J167" s="184" t="s">
        <v>265</v>
      </c>
      <c r="K167" s="185"/>
      <c r="L167" s="186"/>
      <c r="M167" s="187" t="s">
        <v>348</v>
      </c>
      <c r="N167" s="184" t="s">
        <v>266</v>
      </c>
      <c r="O167" s="188"/>
      <c r="P167" s="188"/>
      <c r="Q167" s="188"/>
      <c r="R167" s="188"/>
      <c r="S167" s="188"/>
      <c r="T167" s="188"/>
      <c r="U167" s="188"/>
      <c r="V167" s="188"/>
      <c r="W167" s="188"/>
      <c r="X167" s="189"/>
      <c r="Y167" s="140" t="s">
        <v>348</v>
      </c>
      <c r="Z167" s="124" t="s">
        <v>215</v>
      </c>
      <c r="AA167" s="124"/>
      <c r="AB167" s="139"/>
      <c r="AC167" s="363"/>
      <c r="AD167" s="363"/>
      <c r="AE167" s="363"/>
      <c r="AF167" s="363"/>
      <c r="AG167" s="119" t="str">
        <f>"ser_code = '" &amp; IF(A177="■",22,"") &amp; "'"</f>
        <v>ser_code = ''</v>
      </c>
      <c r="AH167" s="119" t="str">
        <f>"22:jininkbn_code:" &amp; IF(F177="■",1,IF(F178="■",2,0))</f>
        <v>22:jininkbn_code:0</v>
      </c>
      <c r="AI167" s="119" t="str">
        <f>"22:yakan_kinmu_code:" &amp; IF(I167="■",1,IF(M167="■",6,0))</f>
        <v>22:yakan_kinmu_code:0</v>
      </c>
      <c r="AJ167" s="119" t="str">
        <f>"22:field203:" &amp; IF(Y167="■",1,IF(Y168="■",2,0))</f>
        <v>22:field203:0</v>
      </c>
    </row>
    <row r="168" spans="1:38" s="119" customFormat="1" ht="18.75" customHeight="1" x14ac:dyDescent="0.15">
      <c r="A168" s="107"/>
      <c r="B168" s="108"/>
      <c r="C168" s="109"/>
      <c r="D168" s="110"/>
      <c r="E168" s="111"/>
      <c r="F168" s="112"/>
      <c r="G168" s="111"/>
      <c r="H168" s="368" t="s">
        <v>92</v>
      </c>
      <c r="I168" s="194" t="s">
        <v>348</v>
      </c>
      <c r="J168" s="160" t="s">
        <v>216</v>
      </c>
      <c r="K168" s="160"/>
      <c r="L168" s="205"/>
      <c r="M168" s="195" t="s">
        <v>348</v>
      </c>
      <c r="N168" s="160" t="s">
        <v>254</v>
      </c>
      <c r="O168" s="160"/>
      <c r="P168" s="205"/>
      <c r="Q168" s="195" t="s">
        <v>348</v>
      </c>
      <c r="R168" s="198" t="s">
        <v>255</v>
      </c>
      <c r="S168" s="198"/>
      <c r="T168" s="198"/>
      <c r="U168" s="195" t="s">
        <v>348</v>
      </c>
      <c r="V168" s="198" t="s">
        <v>256</v>
      </c>
      <c r="W168" s="198"/>
      <c r="X168" s="199"/>
      <c r="Y168" s="123" t="s">
        <v>348</v>
      </c>
      <c r="Z168" s="104" t="s">
        <v>221</v>
      </c>
      <c r="AA168" s="105"/>
      <c r="AB168" s="106"/>
      <c r="AC168" s="365"/>
      <c r="AD168" s="365"/>
      <c r="AE168" s="365"/>
      <c r="AF168" s="365"/>
      <c r="AG168" s="119" t="str">
        <f>"22:sisetukbn_code:" &amp; IF(D177="■",1,0)</f>
        <v>22:sisetukbn_code:0</v>
      </c>
      <c r="AI168" s="119" t="str">
        <f>"22:"&amp;IF(AND(I168="□",M168="□",Q168="□",U168="□",I169="□",M169="□",Q169="□"),"ketu_doctor_code:0",IF(I168="■","ketu_doctor_code:1:ketu_kangos_code:1:ketu_kshoku_code:1:ketu_rryoho_code:1:ketu_sryoho_code:1:ketu_gengo_code:1",
IF(M168="■","ketu_doctor_code:2","ketu_doctor_code:1")
&amp;IF(Q168="■",":ketu_kangos_code:2",":ketu_kangos_code:1")
&amp;IF(U168="■",":ketu_kshoku_code:2",":ketu_kshoku_code:1")
&amp;IF(I169="■",":ketu_rryoho_code:2",":ketu_rryoho_code:1")
&amp;IF(M169="■",":ketu_sryoho_code:2",":ketu_sryoho_code:1")
&amp;IF(Q169="■",":ketu_gengo_code:2",":ketu_gengo_code:1")))</f>
        <v>22:ketu_doctor_code:0</v>
      </c>
    </row>
    <row r="169" spans="1:38" s="119" customFormat="1" ht="18.75" customHeight="1" x14ac:dyDescent="0.15">
      <c r="A169" s="107"/>
      <c r="B169" s="108"/>
      <c r="C169" s="109"/>
      <c r="D169" s="110"/>
      <c r="E169" s="111"/>
      <c r="F169" s="112"/>
      <c r="G169" s="111"/>
      <c r="H169" s="369"/>
      <c r="I169" s="143" t="s">
        <v>348</v>
      </c>
      <c r="J169" s="115" t="s">
        <v>257</v>
      </c>
      <c r="K169" s="115"/>
      <c r="L169" s="116"/>
      <c r="M169" s="191" t="s">
        <v>348</v>
      </c>
      <c r="N169" s="115" t="s">
        <v>258</v>
      </c>
      <c r="O169" s="115"/>
      <c r="P169" s="116"/>
      <c r="Q169" s="191" t="s">
        <v>348</v>
      </c>
      <c r="R169" s="144" t="s">
        <v>259</v>
      </c>
      <c r="S169" s="144"/>
      <c r="T169" s="144"/>
      <c r="U169" s="144"/>
      <c r="V169" s="144"/>
      <c r="W169" s="144"/>
      <c r="X169" s="226"/>
      <c r="Y169" s="105"/>
      <c r="Z169" s="105"/>
      <c r="AA169" s="105"/>
      <c r="AB169" s="106"/>
      <c r="AC169" s="365"/>
      <c r="AD169" s="365"/>
      <c r="AE169" s="365"/>
      <c r="AF169" s="365"/>
    </row>
    <row r="170" spans="1:38" s="119" customFormat="1" ht="18.75" customHeight="1" x14ac:dyDescent="0.15">
      <c r="A170" s="107"/>
      <c r="B170" s="108"/>
      <c r="C170" s="109"/>
      <c r="D170" s="110"/>
      <c r="E170" s="111"/>
      <c r="F170" s="112"/>
      <c r="G170" s="111"/>
      <c r="H170" s="244" t="s">
        <v>97</v>
      </c>
      <c r="I170" s="148" t="s">
        <v>348</v>
      </c>
      <c r="J170" s="149" t="s">
        <v>230</v>
      </c>
      <c r="K170" s="150"/>
      <c r="L170" s="151"/>
      <c r="M170" s="152" t="s">
        <v>348</v>
      </c>
      <c r="N170" s="149" t="s">
        <v>231</v>
      </c>
      <c r="O170" s="154"/>
      <c r="P170" s="154"/>
      <c r="Q170" s="154"/>
      <c r="R170" s="154"/>
      <c r="S170" s="154"/>
      <c r="T170" s="154"/>
      <c r="U170" s="154"/>
      <c r="V170" s="154"/>
      <c r="W170" s="154"/>
      <c r="X170" s="155"/>
      <c r="Y170" s="105"/>
      <c r="Z170" s="105"/>
      <c r="AA170" s="105"/>
      <c r="AB170" s="106"/>
      <c r="AC170" s="365"/>
      <c r="AD170" s="365"/>
      <c r="AE170" s="365"/>
      <c r="AF170" s="365"/>
      <c r="AI170" s="119" t="str">
        <f>"22:unitcare_code:" &amp; IF(I170="■",1,IF(M170="■",2,0))</f>
        <v>22:unitcare_code:0</v>
      </c>
    </row>
    <row r="171" spans="1:38" s="119" customFormat="1" ht="18.75" customHeight="1" x14ac:dyDescent="0.15">
      <c r="A171" s="107"/>
      <c r="B171" s="108"/>
      <c r="C171" s="238"/>
      <c r="D171" s="239"/>
      <c r="E171" s="111"/>
      <c r="F171" s="112"/>
      <c r="G171" s="113"/>
      <c r="H171" s="230" t="s">
        <v>103</v>
      </c>
      <c r="I171" s="148" t="s">
        <v>348</v>
      </c>
      <c r="J171" s="149" t="s">
        <v>360</v>
      </c>
      <c r="K171" s="150"/>
      <c r="L171" s="151"/>
      <c r="M171" s="152" t="s">
        <v>348</v>
      </c>
      <c r="N171" s="149" t="s">
        <v>361</v>
      </c>
      <c r="O171" s="150"/>
      <c r="P171" s="150"/>
      <c r="Q171" s="150"/>
      <c r="R171" s="150"/>
      <c r="S171" s="150"/>
      <c r="T171" s="150"/>
      <c r="U171" s="150"/>
      <c r="V171" s="150"/>
      <c r="W171" s="150"/>
      <c r="X171" s="159"/>
      <c r="Y171" s="147"/>
      <c r="Z171" s="105"/>
      <c r="AA171" s="105"/>
      <c r="AB171" s="106"/>
      <c r="AC171" s="365"/>
      <c r="AD171" s="365"/>
      <c r="AE171" s="365"/>
      <c r="AF171" s="365"/>
      <c r="AI171" s="119" t="str">
        <f>"22:sintaikousoku_code:" &amp; IF(I171="■",1,IF(M171="■",2,0))</f>
        <v>22:sintaikousoku_code:0</v>
      </c>
    </row>
    <row r="172" spans="1:38" s="119" customFormat="1" ht="19.5" customHeight="1" x14ac:dyDescent="0.15">
      <c r="A172" s="107"/>
      <c r="B172" s="108"/>
      <c r="C172" s="109"/>
      <c r="D172" s="110"/>
      <c r="E172" s="111"/>
      <c r="F172" s="112"/>
      <c r="G172" s="113"/>
      <c r="H172" s="114" t="s">
        <v>369</v>
      </c>
      <c r="I172" s="148" t="s">
        <v>348</v>
      </c>
      <c r="J172" s="149" t="s">
        <v>360</v>
      </c>
      <c r="K172" s="150"/>
      <c r="L172" s="151"/>
      <c r="M172" s="152" t="s">
        <v>348</v>
      </c>
      <c r="N172" s="149" t="s">
        <v>370</v>
      </c>
      <c r="O172" s="153"/>
      <c r="P172" s="149"/>
      <c r="Q172" s="154"/>
      <c r="R172" s="154"/>
      <c r="S172" s="154"/>
      <c r="T172" s="154"/>
      <c r="U172" s="154"/>
      <c r="V172" s="154"/>
      <c r="W172" s="154"/>
      <c r="X172" s="155"/>
      <c r="Y172" s="105"/>
      <c r="Z172" s="105"/>
      <c r="AA172" s="105"/>
      <c r="AB172" s="106"/>
      <c r="AC172" s="365"/>
      <c r="AD172" s="365"/>
      <c r="AE172" s="365"/>
      <c r="AF172" s="365"/>
      <c r="AI172" s="119" t="str">
        <f>"22:field223:" &amp; IF(I172="■",1,IF(M172="■",2,0))</f>
        <v>22:field223:0</v>
      </c>
    </row>
    <row r="173" spans="1:38" s="119" customFormat="1" ht="19.5" customHeight="1" x14ac:dyDescent="0.15">
      <c r="A173" s="107"/>
      <c r="B173" s="108"/>
      <c r="C173" s="109"/>
      <c r="D173" s="110"/>
      <c r="E173" s="111"/>
      <c r="F173" s="112"/>
      <c r="G173" s="113"/>
      <c r="H173" s="114" t="s">
        <v>390</v>
      </c>
      <c r="I173" s="148" t="s">
        <v>348</v>
      </c>
      <c r="J173" s="149" t="s">
        <v>360</v>
      </c>
      <c r="K173" s="150"/>
      <c r="L173" s="151"/>
      <c r="M173" s="152" t="s">
        <v>348</v>
      </c>
      <c r="N173" s="149" t="s">
        <v>370</v>
      </c>
      <c r="O173" s="153"/>
      <c r="P173" s="149"/>
      <c r="Q173" s="154"/>
      <c r="R173" s="154"/>
      <c r="S173" s="154"/>
      <c r="T173" s="154"/>
      <c r="U173" s="154"/>
      <c r="V173" s="154"/>
      <c r="W173" s="154"/>
      <c r="X173" s="155"/>
      <c r="Y173" s="105"/>
      <c r="Z173" s="105"/>
      <c r="AA173" s="105"/>
      <c r="AB173" s="106"/>
      <c r="AC173" s="365"/>
      <c r="AD173" s="365"/>
      <c r="AE173" s="365"/>
      <c r="AF173" s="365"/>
      <c r="AI173" s="119" t="str">
        <f>"22:field232:" &amp; IF(I173="■",1,IF(M173="■",2,0))</f>
        <v>22:field232:0</v>
      </c>
    </row>
    <row r="174" spans="1:38" ht="19.5" customHeight="1" x14ac:dyDescent="0.15">
      <c r="A174" s="107"/>
      <c r="B174" s="108"/>
      <c r="C174" s="109"/>
      <c r="D174" s="110"/>
      <c r="E174" s="111"/>
      <c r="F174" s="112"/>
      <c r="G174" s="113"/>
      <c r="H174" s="114" t="s">
        <v>455</v>
      </c>
      <c r="I174" s="148" t="s">
        <v>348</v>
      </c>
      <c r="J174" s="115" t="s">
        <v>453</v>
      </c>
      <c r="K174" s="166"/>
      <c r="L174" s="116"/>
      <c r="M174" s="152" t="s">
        <v>348</v>
      </c>
      <c r="N174" s="115" t="s">
        <v>454</v>
      </c>
      <c r="O174" s="236"/>
      <c r="P174" s="115"/>
      <c r="Q174" s="145"/>
      <c r="R174" s="145"/>
      <c r="S174" s="145"/>
      <c r="T174" s="145"/>
      <c r="U174" s="145"/>
      <c r="V174" s="145"/>
      <c r="W174" s="145"/>
      <c r="X174" s="146"/>
      <c r="Y174" s="162"/>
      <c r="Z174" s="104"/>
      <c r="AA174" s="105"/>
      <c r="AB174" s="106"/>
      <c r="AC174" s="365"/>
      <c r="AD174" s="365"/>
      <c r="AE174" s="365"/>
      <c r="AF174" s="365"/>
      <c r="AG174" s="103"/>
      <c r="AH174" s="103"/>
      <c r="AI174" s="119" t="str">
        <f>"22:field242:" &amp; IF(I174="■",1,IF(M174="■",2,0))</f>
        <v>22:field242:0</v>
      </c>
      <c r="AJ174" s="103"/>
      <c r="AK174" s="103"/>
      <c r="AL174" s="103"/>
    </row>
    <row r="175" spans="1:38" s="119" customFormat="1" ht="18.75" customHeight="1" x14ac:dyDescent="0.15">
      <c r="A175" s="107"/>
      <c r="B175" s="108"/>
      <c r="C175" s="109"/>
      <c r="D175" s="110"/>
      <c r="E175" s="111"/>
      <c r="F175" s="112"/>
      <c r="G175" s="111"/>
      <c r="H175" s="244" t="s">
        <v>105</v>
      </c>
      <c r="I175" s="148" t="s">
        <v>348</v>
      </c>
      <c r="J175" s="149" t="s">
        <v>216</v>
      </c>
      <c r="K175" s="150"/>
      <c r="L175" s="152" t="s">
        <v>348</v>
      </c>
      <c r="M175" s="149" t="s">
        <v>232</v>
      </c>
      <c r="N175" s="154"/>
      <c r="O175" s="154"/>
      <c r="P175" s="154"/>
      <c r="Q175" s="154"/>
      <c r="R175" s="154"/>
      <c r="S175" s="154"/>
      <c r="T175" s="154"/>
      <c r="U175" s="154"/>
      <c r="V175" s="154"/>
      <c r="W175" s="154"/>
      <c r="X175" s="155"/>
      <c r="Y175" s="105"/>
      <c r="Z175" s="105"/>
      <c r="AA175" s="105"/>
      <c r="AB175" s="106"/>
      <c r="AC175" s="365"/>
      <c r="AD175" s="365"/>
      <c r="AE175" s="365"/>
      <c r="AF175" s="365"/>
      <c r="AI175" s="119" t="str">
        <f>"22:yakinhaiti_code:" &amp; IF(I175="■",1,IF(L175="■",2,0))</f>
        <v>22:yakinhaiti_code:0</v>
      </c>
    </row>
    <row r="176" spans="1:38" s="119" customFormat="1" ht="18.75" customHeight="1" x14ac:dyDescent="0.15">
      <c r="A176" s="107"/>
      <c r="B176" s="108"/>
      <c r="C176" s="109"/>
      <c r="D176" s="110"/>
      <c r="E176" s="111"/>
      <c r="F176" s="112"/>
      <c r="G176" s="111"/>
      <c r="H176" s="244" t="s">
        <v>99</v>
      </c>
      <c r="I176" s="148" t="s">
        <v>348</v>
      </c>
      <c r="J176" s="149" t="s">
        <v>216</v>
      </c>
      <c r="K176" s="150"/>
      <c r="L176" s="152" t="s">
        <v>348</v>
      </c>
      <c r="M176" s="149" t="s">
        <v>232</v>
      </c>
      <c r="N176" s="154"/>
      <c r="O176" s="154"/>
      <c r="P176" s="154"/>
      <c r="Q176" s="154"/>
      <c r="R176" s="154"/>
      <c r="S176" s="154"/>
      <c r="T176" s="154"/>
      <c r="U176" s="154"/>
      <c r="V176" s="154"/>
      <c r="W176" s="154"/>
      <c r="X176" s="155"/>
      <c r="Y176" s="105"/>
      <c r="Z176" s="105"/>
      <c r="AA176" s="105"/>
      <c r="AB176" s="106"/>
      <c r="AC176" s="365"/>
      <c r="AD176" s="365"/>
      <c r="AE176" s="365"/>
      <c r="AF176" s="365"/>
      <c r="AI176" s="119" t="str">
        <f>"22:ninticare_code:" &amp; IF(I176="■",1,IF(L176="■",2,0))</f>
        <v>22:ninticare_code:0</v>
      </c>
    </row>
    <row r="177" spans="1:36" s="119" customFormat="1" ht="18.75" customHeight="1" x14ac:dyDescent="0.15">
      <c r="A177" s="128" t="s">
        <v>348</v>
      </c>
      <c r="B177" s="108">
        <v>22</v>
      </c>
      <c r="C177" s="109" t="s">
        <v>172</v>
      </c>
      <c r="D177" s="123" t="s">
        <v>348</v>
      </c>
      <c r="E177" s="111" t="s">
        <v>280</v>
      </c>
      <c r="F177" s="123" t="s">
        <v>348</v>
      </c>
      <c r="G177" s="111" t="s">
        <v>278</v>
      </c>
      <c r="H177" s="244" t="s">
        <v>104</v>
      </c>
      <c r="I177" s="148" t="s">
        <v>348</v>
      </c>
      <c r="J177" s="149" t="s">
        <v>216</v>
      </c>
      <c r="K177" s="150"/>
      <c r="L177" s="152" t="s">
        <v>348</v>
      </c>
      <c r="M177" s="149" t="s">
        <v>232</v>
      </c>
      <c r="N177" s="154"/>
      <c r="O177" s="154"/>
      <c r="P177" s="154"/>
      <c r="Q177" s="154"/>
      <c r="R177" s="154"/>
      <c r="S177" s="154"/>
      <c r="T177" s="154"/>
      <c r="U177" s="154"/>
      <c r="V177" s="154"/>
      <c r="W177" s="154"/>
      <c r="X177" s="155"/>
      <c r="Y177" s="105"/>
      <c r="Z177" s="105"/>
      <c r="AA177" s="105"/>
      <c r="AB177" s="106"/>
      <c r="AC177" s="365"/>
      <c r="AD177" s="365"/>
      <c r="AE177" s="365"/>
      <c r="AF177" s="365"/>
      <c r="AI177" s="119" t="str">
        <f>"22:jyakuninti_uke_code:" &amp; IF(I177="■",1,IF(L177="■",2,0))</f>
        <v>22:jyakuninti_uke_code:0</v>
      </c>
    </row>
    <row r="178" spans="1:36" s="119" customFormat="1" ht="18.75" customHeight="1" x14ac:dyDescent="0.15">
      <c r="A178" s="107"/>
      <c r="B178" s="108"/>
      <c r="C178" s="109"/>
      <c r="D178" s="112"/>
      <c r="E178" s="111"/>
      <c r="F178" s="123" t="s">
        <v>348</v>
      </c>
      <c r="G178" s="111" t="s">
        <v>279</v>
      </c>
      <c r="H178" s="244" t="s">
        <v>189</v>
      </c>
      <c r="I178" s="148" t="s">
        <v>348</v>
      </c>
      <c r="J178" s="149" t="s">
        <v>216</v>
      </c>
      <c r="K178" s="149"/>
      <c r="L178" s="152" t="s">
        <v>348</v>
      </c>
      <c r="M178" s="149" t="s">
        <v>217</v>
      </c>
      <c r="N178" s="149"/>
      <c r="O178" s="152" t="s">
        <v>348</v>
      </c>
      <c r="P178" s="149" t="s">
        <v>218</v>
      </c>
      <c r="Q178" s="154"/>
      <c r="R178" s="154"/>
      <c r="S178" s="154"/>
      <c r="T178" s="154"/>
      <c r="U178" s="154"/>
      <c r="V178" s="154"/>
      <c r="W178" s="154"/>
      <c r="X178" s="155"/>
      <c r="Y178" s="105"/>
      <c r="Z178" s="105"/>
      <c r="AA178" s="105"/>
      <c r="AB178" s="106"/>
      <c r="AC178" s="365"/>
      <c r="AD178" s="365"/>
      <c r="AE178" s="365"/>
      <c r="AF178" s="365"/>
      <c r="AI178" s="119" t="str">
        <f>"22:zaitaku_hukki_code:" &amp; IF(I178="■",1,IF(L178="■",2,IF(O178="■",3,0)))</f>
        <v>22:zaitaku_hukki_code:0</v>
      </c>
    </row>
    <row r="179" spans="1:36" s="119" customFormat="1" ht="18.75" customHeight="1" x14ac:dyDescent="0.15">
      <c r="A179" s="107"/>
      <c r="B179" s="108"/>
      <c r="C179" s="109"/>
      <c r="D179" s="110"/>
      <c r="E179" s="111"/>
      <c r="F179" s="112"/>
      <c r="G179" s="111"/>
      <c r="H179" s="244" t="s">
        <v>94</v>
      </c>
      <c r="I179" s="148" t="s">
        <v>348</v>
      </c>
      <c r="J179" s="149" t="s">
        <v>230</v>
      </c>
      <c r="K179" s="150"/>
      <c r="L179" s="151"/>
      <c r="M179" s="152" t="s">
        <v>348</v>
      </c>
      <c r="N179" s="149" t="s">
        <v>231</v>
      </c>
      <c r="O179" s="154"/>
      <c r="P179" s="154"/>
      <c r="Q179" s="154"/>
      <c r="R179" s="154"/>
      <c r="S179" s="154"/>
      <c r="T179" s="154"/>
      <c r="U179" s="154"/>
      <c r="V179" s="154"/>
      <c r="W179" s="154"/>
      <c r="X179" s="155"/>
      <c r="Y179" s="105"/>
      <c r="Z179" s="105"/>
      <c r="AA179" s="105"/>
      <c r="AB179" s="106"/>
      <c r="AC179" s="365"/>
      <c r="AD179" s="365"/>
      <c r="AE179" s="365"/>
      <c r="AF179" s="365"/>
      <c r="AI179" s="119" t="str">
        <f>"22:sougei_code:" &amp; IF(I179="■",1,IF(M179="■",2,0))</f>
        <v>22:sougei_code:0</v>
      </c>
    </row>
    <row r="180" spans="1:36" s="119" customFormat="1" ht="19.5" customHeight="1" x14ac:dyDescent="0.15">
      <c r="A180" s="107"/>
      <c r="B180" s="108"/>
      <c r="C180" s="109"/>
      <c r="D180" s="110"/>
      <c r="E180" s="111"/>
      <c r="F180" s="112"/>
      <c r="G180" s="111"/>
      <c r="H180" s="114" t="s">
        <v>372</v>
      </c>
      <c r="I180" s="148" t="s">
        <v>348</v>
      </c>
      <c r="J180" s="149" t="s">
        <v>216</v>
      </c>
      <c r="K180" s="149"/>
      <c r="L180" s="152" t="s">
        <v>348</v>
      </c>
      <c r="M180" s="149" t="s">
        <v>232</v>
      </c>
      <c r="N180" s="149"/>
      <c r="O180" s="154"/>
      <c r="P180" s="149"/>
      <c r="Q180" s="154"/>
      <c r="R180" s="154"/>
      <c r="S180" s="154"/>
      <c r="T180" s="154"/>
      <c r="U180" s="154"/>
      <c r="V180" s="154"/>
      <c r="W180" s="154"/>
      <c r="X180" s="155"/>
      <c r="Y180" s="105"/>
      <c r="Z180" s="105"/>
      <c r="AA180" s="105"/>
      <c r="AB180" s="106"/>
      <c r="AC180" s="365"/>
      <c r="AD180" s="365"/>
      <c r="AE180" s="365"/>
      <c r="AF180" s="365"/>
      <c r="AI180" s="119" t="str">
        <f>"22:field224:" &amp; IF(I180="■",1,IF(L180="■",2,0))</f>
        <v>22:field224:0</v>
      </c>
    </row>
    <row r="181" spans="1:36" s="119" customFormat="1" ht="18.75" customHeight="1" x14ac:dyDescent="0.15">
      <c r="A181" s="107"/>
      <c r="B181" s="108"/>
      <c r="C181" s="109"/>
      <c r="D181" s="110"/>
      <c r="E181" s="111"/>
      <c r="F181" s="112"/>
      <c r="G181" s="111"/>
      <c r="H181" s="244" t="s">
        <v>106</v>
      </c>
      <c r="I181" s="148" t="s">
        <v>348</v>
      </c>
      <c r="J181" s="149" t="s">
        <v>216</v>
      </c>
      <c r="K181" s="150"/>
      <c r="L181" s="152" t="s">
        <v>348</v>
      </c>
      <c r="M181" s="149" t="s">
        <v>232</v>
      </c>
      <c r="N181" s="154"/>
      <c r="O181" s="154"/>
      <c r="P181" s="154"/>
      <c r="Q181" s="154"/>
      <c r="R181" s="154"/>
      <c r="S181" s="154"/>
      <c r="T181" s="154"/>
      <c r="U181" s="154"/>
      <c r="V181" s="154"/>
      <c r="W181" s="154"/>
      <c r="X181" s="155"/>
      <c r="Y181" s="105"/>
      <c r="Z181" s="105"/>
      <c r="AA181" s="105"/>
      <c r="AB181" s="106"/>
      <c r="AC181" s="365"/>
      <c r="AD181" s="365"/>
      <c r="AE181" s="365"/>
      <c r="AF181" s="365"/>
      <c r="AI181" s="119" t="str">
        <f>"22:ryouyoushoku_code:" &amp; IF(I181="■",1,IF(L181="■",2,0))</f>
        <v>22:ryouyoushoku_code:0</v>
      </c>
    </row>
    <row r="182" spans="1:36" s="119" customFormat="1" ht="18.75" customHeight="1" x14ac:dyDescent="0.15">
      <c r="A182" s="107"/>
      <c r="B182" s="108"/>
      <c r="C182" s="109"/>
      <c r="D182" s="110"/>
      <c r="E182" s="111"/>
      <c r="F182" s="112"/>
      <c r="G182" s="111"/>
      <c r="H182" s="244" t="s">
        <v>165</v>
      </c>
      <c r="I182" s="148" t="s">
        <v>348</v>
      </c>
      <c r="J182" s="149" t="s">
        <v>216</v>
      </c>
      <c r="K182" s="149"/>
      <c r="L182" s="152" t="s">
        <v>348</v>
      </c>
      <c r="M182" s="149" t="s">
        <v>217</v>
      </c>
      <c r="N182" s="149"/>
      <c r="O182" s="152" t="s">
        <v>348</v>
      </c>
      <c r="P182" s="149" t="s">
        <v>218</v>
      </c>
      <c r="Q182" s="154"/>
      <c r="R182" s="154"/>
      <c r="S182" s="154"/>
      <c r="T182" s="154"/>
      <c r="U182" s="154"/>
      <c r="V182" s="154"/>
      <c r="W182" s="154"/>
      <c r="X182" s="155"/>
      <c r="Y182" s="105"/>
      <c r="Z182" s="105"/>
      <c r="AA182" s="105"/>
      <c r="AB182" s="106"/>
      <c r="AC182" s="365"/>
      <c r="AD182" s="365"/>
      <c r="AE182" s="365"/>
      <c r="AF182" s="365"/>
      <c r="AI182" s="119" t="str">
        <f>"22:ninti_senmoncare_code:" &amp; IF(I182="■",1,IF(O182="■",3,IF(L182="■",2,0)))</f>
        <v>22:ninti_senmoncare_code:0</v>
      </c>
    </row>
    <row r="183" spans="1:36" s="119" customFormat="1" ht="18.75" customHeight="1" x14ac:dyDescent="0.15">
      <c r="A183" s="107"/>
      <c r="B183" s="108"/>
      <c r="C183" s="109"/>
      <c r="D183" s="110"/>
      <c r="E183" s="111"/>
      <c r="F183" s="112"/>
      <c r="G183" s="111"/>
      <c r="H183" s="240" t="s">
        <v>385</v>
      </c>
      <c r="I183" s="148" t="s">
        <v>348</v>
      </c>
      <c r="J183" s="149" t="s">
        <v>216</v>
      </c>
      <c r="K183" s="149"/>
      <c r="L183" s="152" t="s">
        <v>348</v>
      </c>
      <c r="M183" s="149" t="s">
        <v>217</v>
      </c>
      <c r="N183" s="149"/>
      <c r="O183" s="152" t="s">
        <v>348</v>
      </c>
      <c r="P183" s="149" t="s">
        <v>218</v>
      </c>
      <c r="Q183" s="154"/>
      <c r="R183" s="154"/>
      <c r="S183" s="154"/>
      <c r="T183" s="154"/>
      <c r="U183" s="241"/>
      <c r="V183" s="241"/>
      <c r="W183" s="241"/>
      <c r="X183" s="242"/>
      <c r="Y183" s="105"/>
      <c r="Z183" s="105"/>
      <c r="AA183" s="105"/>
      <c r="AB183" s="106"/>
      <c r="AC183" s="365"/>
      <c r="AD183" s="365"/>
      <c r="AE183" s="365"/>
      <c r="AF183" s="365"/>
      <c r="AI183" s="119" t="str">
        <f>"22:field225:" &amp; IF(I183="■",1,IF(L183="■",2,IF(O183="■",3,0)))</f>
        <v>22:field225:0</v>
      </c>
    </row>
    <row r="184" spans="1:36" s="119" customFormat="1" ht="18.75" customHeight="1" x14ac:dyDescent="0.15">
      <c r="A184" s="107"/>
      <c r="B184" s="108"/>
      <c r="C184" s="109"/>
      <c r="D184" s="110"/>
      <c r="E184" s="111"/>
      <c r="F184" s="112"/>
      <c r="G184" s="111"/>
      <c r="H184" s="245" t="s">
        <v>111</v>
      </c>
      <c r="I184" s="148" t="s">
        <v>348</v>
      </c>
      <c r="J184" s="149" t="s">
        <v>216</v>
      </c>
      <c r="K184" s="149"/>
      <c r="L184" s="152" t="s">
        <v>348</v>
      </c>
      <c r="M184" s="149" t="s">
        <v>224</v>
      </c>
      <c r="N184" s="149"/>
      <c r="O184" s="152" t="s">
        <v>348</v>
      </c>
      <c r="P184" s="149" t="s">
        <v>225</v>
      </c>
      <c r="Q184" s="196"/>
      <c r="R184" s="152" t="s">
        <v>348</v>
      </c>
      <c r="S184" s="149" t="s">
        <v>248</v>
      </c>
      <c r="T184" s="196"/>
      <c r="U184" s="196"/>
      <c r="V184" s="196"/>
      <c r="W184" s="196"/>
      <c r="X184" s="197"/>
      <c r="Y184" s="105"/>
      <c r="Z184" s="105"/>
      <c r="AA184" s="105"/>
      <c r="AB184" s="106"/>
      <c r="AC184" s="365"/>
      <c r="AD184" s="365"/>
      <c r="AE184" s="365"/>
      <c r="AF184" s="365"/>
      <c r="AI184" s="119" t="str">
        <f>"22:serteikyo_kyoka_code:" &amp; IF(I184="■",1,IF(L184="■",6,IF(O184="■",5,IF(R184="■",7,0))))</f>
        <v>22:serteikyo_kyoka_code:0</v>
      </c>
    </row>
    <row r="185" spans="1:36" s="119" customFormat="1" ht="18.75" customHeight="1" x14ac:dyDescent="0.15">
      <c r="A185" s="107"/>
      <c r="B185" s="108"/>
      <c r="C185" s="109"/>
      <c r="D185" s="110"/>
      <c r="E185" s="111"/>
      <c r="F185" s="112"/>
      <c r="G185" s="111"/>
      <c r="H185" s="329" t="s">
        <v>409</v>
      </c>
      <c r="I185" s="358" t="s">
        <v>348</v>
      </c>
      <c r="J185" s="359" t="s">
        <v>216</v>
      </c>
      <c r="K185" s="359"/>
      <c r="L185" s="360" t="s">
        <v>348</v>
      </c>
      <c r="M185" s="359" t="s">
        <v>232</v>
      </c>
      <c r="N185" s="359"/>
      <c r="O185" s="160"/>
      <c r="P185" s="160"/>
      <c r="Q185" s="160"/>
      <c r="R185" s="160"/>
      <c r="S185" s="160"/>
      <c r="T185" s="160"/>
      <c r="U185" s="160"/>
      <c r="V185" s="160"/>
      <c r="W185" s="160"/>
      <c r="X185" s="163"/>
      <c r="Y185" s="105"/>
      <c r="Z185" s="105"/>
      <c r="AA185" s="105"/>
      <c r="AB185" s="106"/>
      <c r="AC185" s="365"/>
      <c r="AD185" s="365"/>
      <c r="AE185" s="365"/>
      <c r="AF185" s="365"/>
      <c r="AI185" s="119" t="str">
        <f>"22:field221:" &amp; IF(I185="■",1,IF(L185="■",2,0))</f>
        <v>22:field221:0</v>
      </c>
    </row>
    <row r="186" spans="1:36" s="119" customFormat="1" ht="18.75" customHeight="1" x14ac:dyDescent="0.15">
      <c r="A186" s="107"/>
      <c r="B186" s="108"/>
      <c r="C186" s="109"/>
      <c r="D186" s="110"/>
      <c r="E186" s="111"/>
      <c r="F186" s="112"/>
      <c r="G186" s="111"/>
      <c r="H186" s="328"/>
      <c r="I186" s="358"/>
      <c r="J186" s="359"/>
      <c r="K186" s="359"/>
      <c r="L186" s="360"/>
      <c r="M186" s="359"/>
      <c r="N186" s="359"/>
      <c r="O186" s="115"/>
      <c r="P186" s="115"/>
      <c r="Q186" s="115"/>
      <c r="R186" s="115"/>
      <c r="S186" s="115"/>
      <c r="T186" s="115"/>
      <c r="U186" s="115"/>
      <c r="V186" s="115"/>
      <c r="W186" s="115"/>
      <c r="X186" s="161"/>
      <c r="Y186" s="105"/>
      <c r="Z186" s="105"/>
      <c r="AA186" s="105"/>
      <c r="AB186" s="106"/>
      <c r="AC186" s="365"/>
      <c r="AD186" s="365"/>
      <c r="AE186" s="365"/>
      <c r="AF186" s="365"/>
    </row>
    <row r="187" spans="1:36" s="119" customFormat="1" ht="18.75" customHeight="1" x14ac:dyDescent="0.15">
      <c r="A187" s="170"/>
      <c r="B187" s="171"/>
      <c r="C187" s="172"/>
      <c r="D187" s="173"/>
      <c r="E187" s="174"/>
      <c r="F187" s="175"/>
      <c r="G187" s="176"/>
      <c r="H187" s="95" t="s">
        <v>405</v>
      </c>
      <c r="I187" s="177" t="s">
        <v>348</v>
      </c>
      <c r="J187" s="96" t="s">
        <v>216</v>
      </c>
      <c r="K187" s="96"/>
      <c r="L187" s="178" t="s">
        <v>348</v>
      </c>
      <c r="M187" s="96" t="s">
        <v>373</v>
      </c>
      <c r="N187" s="97"/>
      <c r="O187" s="178" t="s">
        <v>348</v>
      </c>
      <c r="P187" s="99" t="s">
        <v>374</v>
      </c>
      <c r="Q187" s="98"/>
      <c r="R187" s="178" t="s">
        <v>348</v>
      </c>
      <c r="S187" s="96" t="s">
        <v>375</v>
      </c>
      <c r="T187" s="98"/>
      <c r="U187" s="178" t="s">
        <v>348</v>
      </c>
      <c r="V187" s="96" t="s">
        <v>376</v>
      </c>
      <c r="W187" s="100"/>
      <c r="X187" s="101"/>
      <c r="Y187" s="179"/>
      <c r="Z187" s="179"/>
      <c r="AA187" s="179"/>
      <c r="AB187" s="180"/>
      <c r="AC187" s="366"/>
      <c r="AD187" s="366"/>
      <c r="AE187" s="366"/>
      <c r="AF187" s="366"/>
      <c r="AI187" s="119" t="str">
        <f>"22:shoguukaizen_code:"&amp;IF(I187="■",1,IF(L187="■",7,IF(O187="■",8,IF(R187="■",9,IF(U187="■","A",0)))))</f>
        <v>22:shoguukaizen_code:0</v>
      </c>
    </row>
    <row r="188" spans="1:36" s="119" customFormat="1" ht="18.75" customHeight="1" x14ac:dyDescent="0.15">
      <c r="A188" s="130"/>
      <c r="B188" s="131"/>
      <c r="C188" s="132"/>
      <c r="D188" s="133"/>
      <c r="E188" s="126"/>
      <c r="F188" s="134"/>
      <c r="G188" s="126"/>
      <c r="H188" s="243" t="s">
        <v>96</v>
      </c>
      <c r="I188" s="183" t="s">
        <v>348</v>
      </c>
      <c r="J188" s="184" t="s">
        <v>265</v>
      </c>
      <c r="K188" s="185"/>
      <c r="L188" s="186"/>
      <c r="M188" s="187" t="s">
        <v>348</v>
      </c>
      <c r="N188" s="184" t="s">
        <v>266</v>
      </c>
      <c r="O188" s="188"/>
      <c r="P188" s="188"/>
      <c r="Q188" s="188"/>
      <c r="R188" s="188"/>
      <c r="S188" s="188"/>
      <c r="T188" s="188"/>
      <c r="U188" s="188"/>
      <c r="V188" s="188"/>
      <c r="W188" s="188"/>
      <c r="X188" s="189"/>
      <c r="Y188" s="140" t="s">
        <v>348</v>
      </c>
      <c r="Z188" s="124" t="s">
        <v>215</v>
      </c>
      <c r="AA188" s="124"/>
      <c r="AB188" s="139"/>
      <c r="AC188" s="363"/>
      <c r="AD188" s="363"/>
      <c r="AE188" s="363"/>
      <c r="AF188" s="363"/>
      <c r="AG188" s="119" t="str">
        <f>"ser_code = '" &amp; IF(A197="■",22,"") &amp; "'"</f>
        <v>ser_code = ''</v>
      </c>
      <c r="AH188" s="119" t="str">
        <f>"22:jininkbn_code:" &amp; IF(F197="■",1,IF(F198="■",2,0))</f>
        <v>22:jininkbn_code:0</v>
      </c>
      <c r="AI188" s="119" t="str">
        <f>"22:yakan_kinmu_code:" &amp; IF(I188="■",1,IF(M188="■",6,0))</f>
        <v>22:yakan_kinmu_code:0</v>
      </c>
      <c r="AJ188" s="119" t="str">
        <f>"22:field203:" &amp; IF(Y188="■",1,IF(Y189="■",2,0))</f>
        <v>22:field203:0</v>
      </c>
    </row>
    <row r="189" spans="1:36" s="119" customFormat="1" ht="18.75" customHeight="1" x14ac:dyDescent="0.15">
      <c r="A189" s="107"/>
      <c r="B189" s="108"/>
      <c r="C189" s="109"/>
      <c r="D189" s="110"/>
      <c r="E189" s="111"/>
      <c r="F189" s="112"/>
      <c r="G189" s="111"/>
      <c r="H189" s="368" t="s">
        <v>92</v>
      </c>
      <c r="I189" s="194" t="s">
        <v>348</v>
      </c>
      <c r="J189" s="160" t="s">
        <v>216</v>
      </c>
      <c r="K189" s="160"/>
      <c r="L189" s="205"/>
      <c r="M189" s="195" t="s">
        <v>348</v>
      </c>
      <c r="N189" s="160" t="s">
        <v>254</v>
      </c>
      <c r="O189" s="160"/>
      <c r="P189" s="205"/>
      <c r="Q189" s="195" t="s">
        <v>348</v>
      </c>
      <c r="R189" s="198" t="s">
        <v>255</v>
      </c>
      <c r="S189" s="198"/>
      <c r="T189" s="198"/>
      <c r="U189" s="195" t="s">
        <v>348</v>
      </c>
      <c r="V189" s="198" t="s">
        <v>256</v>
      </c>
      <c r="W189" s="198"/>
      <c r="X189" s="199"/>
      <c r="Y189" s="123" t="s">
        <v>348</v>
      </c>
      <c r="Z189" s="104" t="s">
        <v>221</v>
      </c>
      <c r="AA189" s="105"/>
      <c r="AB189" s="106"/>
      <c r="AC189" s="365"/>
      <c r="AD189" s="365"/>
      <c r="AE189" s="365"/>
      <c r="AF189" s="365"/>
      <c r="AG189" s="119" t="str">
        <f>"22:sisetukbn_code:" &amp; IF(D197="■",1,0)</f>
        <v>22:sisetukbn_code:0</v>
      </c>
      <c r="AI189" s="119" t="str">
        <f>"22:"&amp;IF(AND(I189="□",M189="□",Q189="□",U189="□",I190="□",M190="□",Q190="□"),"ketu_doctor_code:0",IF(I189="■","ketu_doctor_code:1:ketu_kangos_code:1:ketu_kshoku_code:1:ketu_rryoho_code:1:ketu_sryoho_code:1:ketu_gengo_code:1",
IF(M189="■","ketu_doctor_code:2","ketu_doctor_code:1")
&amp;IF(Q189="■",":ketu_kangos_code:2",":ketu_kangos_code:1")
&amp;IF(U189="■",":ketu_kshoku_code:2",":ketu_kshoku_code:1")
&amp;IF(I190="■",":ketu_rryoho_code:2",":ketu_rryoho_code:1")
&amp;IF(M190="■",":ketu_sryoho_code:2",":ketu_sryoho_code:1")
&amp;IF(Q190="■",":ketu_gengo_code:2",":ketu_gengo_code:1")))</f>
        <v>22:ketu_doctor_code:0</v>
      </c>
    </row>
    <row r="190" spans="1:36" s="119" customFormat="1" ht="18.75" customHeight="1" x14ac:dyDescent="0.15">
      <c r="A190" s="107"/>
      <c r="B190" s="108"/>
      <c r="C190" s="109"/>
      <c r="D190" s="110"/>
      <c r="E190" s="111"/>
      <c r="F190" s="112"/>
      <c r="G190" s="111"/>
      <c r="H190" s="369"/>
      <c r="I190" s="143" t="s">
        <v>348</v>
      </c>
      <c r="J190" s="115" t="s">
        <v>257</v>
      </c>
      <c r="K190" s="115"/>
      <c r="L190" s="116"/>
      <c r="M190" s="191" t="s">
        <v>348</v>
      </c>
      <c r="N190" s="115" t="s">
        <v>258</v>
      </c>
      <c r="O190" s="115"/>
      <c r="P190" s="116"/>
      <c r="Q190" s="191" t="s">
        <v>348</v>
      </c>
      <c r="R190" s="144" t="s">
        <v>259</v>
      </c>
      <c r="S190" s="144"/>
      <c r="T190" s="144"/>
      <c r="U190" s="144"/>
      <c r="V190" s="144"/>
      <c r="W190" s="144"/>
      <c r="X190" s="226"/>
      <c r="Y190" s="105"/>
      <c r="Z190" s="105"/>
      <c r="AA190" s="105"/>
      <c r="AB190" s="106"/>
      <c r="AC190" s="365"/>
      <c r="AD190" s="365"/>
      <c r="AE190" s="365"/>
      <c r="AF190" s="365"/>
    </row>
    <row r="191" spans="1:36" s="119" customFormat="1" ht="18.75" customHeight="1" x14ac:dyDescent="0.15">
      <c r="A191" s="107"/>
      <c r="B191" s="108"/>
      <c r="C191" s="109"/>
      <c r="D191" s="110"/>
      <c r="E191" s="111"/>
      <c r="F191" s="112"/>
      <c r="G191" s="111"/>
      <c r="H191" s="244" t="s">
        <v>97</v>
      </c>
      <c r="I191" s="148" t="s">
        <v>348</v>
      </c>
      <c r="J191" s="149" t="s">
        <v>230</v>
      </c>
      <c r="K191" s="150"/>
      <c r="L191" s="151"/>
      <c r="M191" s="152" t="s">
        <v>348</v>
      </c>
      <c r="N191" s="149" t="s">
        <v>231</v>
      </c>
      <c r="O191" s="154"/>
      <c r="P191" s="154"/>
      <c r="Q191" s="154"/>
      <c r="R191" s="154"/>
      <c r="S191" s="154"/>
      <c r="T191" s="154"/>
      <c r="U191" s="154"/>
      <c r="V191" s="154"/>
      <c r="W191" s="154"/>
      <c r="X191" s="155"/>
      <c r="Y191" s="105"/>
      <c r="Z191" s="105"/>
      <c r="AA191" s="105"/>
      <c r="AB191" s="106"/>
      <c r="AC191" s="365"/>
      <c r="AD191" s="365"/>
      <c r="AE191" s="365"/>
      <c r="AF191" s="365"/>
      <c r="AI191" s="119" t="str">
        <f>"22:unitcare_code:" &amp; IF(I191="■",1,IF(M191="■",2,0))</f>
        <v>22:unitcare_code:0</v>
      </c>
    </row>
    <row r="192" spans="1:36" s="119" customFormat="1" ht="18.75" customHeight="1" x14ac:dyDescent="0.15">
      <c r="A192" s="107"/>
      <c r="B192" s="108"/>
      <c r="C192" s="238"/>
      <c r="D192" s="239"/>
      <c r="E192" s="111"/>
      <c r="F192" s="112"/>
      <c r="G192" s="113"/>
      <c r="H192" s="230" t="s">
        <v>103</v>
      </c>
      <c r="I192" s="148" t="s">
        <v>348</v>
      </c>
      <c r="J192" s="149" t="s">
        <v>360</v>
      </c>
      <c r="K192" s="150"/>
      <c r="L192" s="151"/>
      <c r="M192" s="152" t="s">
        <v>348</v>
      </c>
      <c r="N192" s="149" t="s">
        <v>361</v>
      </c>
      <c r="O192" s="150"/>
      <c r="P192" s="150"/>
      <c r="Q192" s="150"/>
      <c r="R192" s="150"/>
      <c r="S192" s="150"/>
      <c r="T192" s="150"/>
      <c r="U192" s="150"/>
      <c r="V192" s="150"/>
      <c r="W192" s="150"/>
      <c r="X192" s="159"/>
      <c r="Y192" s="147"/>
      <c r="Z192" s="105"/>
      <c r="AA192" s="105"/>
      <c r="AB192" s="106"/>
      <c r="AC192" s="365"/>
      <c r="AD192" s="365"/>
      <c r="AE192" s="365"/>
      <c r="AF192" s="365"/>
      <c r="AI192" s="119" t="str">
        <f>"22:sintaikousoku_code:" &amp; IF(I192="■",1,IF(M192="■",2,0))</f>
        <v>22:sintaikousoku_code:0</v>
      </c>
    </row>
    <row r="193" spans="1:36" s="119" customFormat="1" ht="19.5" customHeight="1" x14ac:dyDescent="0.15">
      <c r="A193" s="107"/>
      <c r="B193" s="108"/>
      <c r="C193" s="109"/>
      <c r="D193" s="110"/>
      <c r="E193" s="111"/>
      <c r="F193" s="112"/>
      <c r="G193" s="113"/>
      <c r="H193" s="114" t="s">
        <v>369</v>
      </c>
      <c r="I193" s="148" t="s">
        <v>348</v>
      </c>
      <c r="J193" s="149" t="s">
        <v>360</v>
      </c>
      <c r="K193" s="150"/>
      <c r="L193" s="151"/>
      <c r="M193" s="152" t="s">
        <v>348</v>
      </c>
      <c r="N193" s="149" t="s">
        <v>370</v>
      </c>
      <c r="O193" s="153"/>
      <c r="P193" s="149"/>
      <c r="Q193" s="154"/>
      <c r="R193" s="154"/>
      <c r="S193" s="154"/>
      <c r="T193" s="154"/>
      <c r="U193" s="154"/>
      <c r="V193" s="154"/>
      <c r="W193" s="154"/>
      <c r="X193" s="155"/>
      <c r="Y193" s="105"/>
      <c r="Z193" s="105"/>
      <c r="AA193" s="105"/>
      <c r="AB193" s="106"/>
      <c r="AC193" s="365"/>
      <c r="AD193" s="365"/>
      <c r="AE193" s="365"/>
      <c r="AF193" s="365"/>
      <c r="AI193" s="119" t="str">
        <f>"22:field223:" &amp; IF(I193="■",1,IF(M193="■",2,0))</f>
        <v>22:field223:0</v>
      </c>
    </row>
    <row r="194" spans="1:36" s="119" customFormat="1" ht="19.5" customHeight="1" x14ac:dyDescent="0.15">
      <c r="A194" s="107"/>
      <c r="B194" s="108"/>
      <c r="C194" s="109"/>
      <c r="D194" s="110"/>
      <c r="E194" s="111"/>
      <c r="F194" s="112"/>
      <c r="G194" s="113"/>
      <c r="H194" s="114" t="s">
        <v>390</v>
      </c>
      <c r="I194" s="148" t="s">
        <v>348</v>
      </c>
      <c r="J194" s="149" t="s">
        <v>360</v>
      </c>
      <c r="K194" s="150"/>
      <c r="L194" s="151"/>
      <c r="M194" s="152" t="s">
        <v>348</v>
      </c>
      <c r="N194" s="149" t="s">
        <v>370</v>
      </c>
      <c r="O194" s="153"/>
      <c r="P194" s="149"/>
      <c r="Q194" s="154"/>
      <c r="R194" s="154"/>
      <c r="S194" s="154"/>
      <c r="T194" s="154"/>
      <c r="U194" s="154"/>
      <c r="V194" s="154"/>
      <c r="W194" s="154"/>
      <c r="X194" s="155"/>
      <c r="Y194" s="105"/>
      <c r="Z194" s="105"/>
      <c r="AA194" s="105"/>
      <c r="AB194" s="106"/>
      <c r="AC194" s="365"/>
      <c r="AD194" s="365"/>
      <c r="AE194" s="365"/>
      <c r="AF194" s="365"/>
      <c r="AI194" s="119" t="str">
        <f>"22:field232:" &amp; IF(I194="■",1,IF(M194="■",2,0))</f>
        <v>22:field232:0</v>
      </c>
    </row>
    <row r="195" spans="1:36" s="119" customFormat="1" ht="18.75" customHeight="1" x14ac:dyDescent="0.15">
      <c r="A195" s="107"/>
      <c r="B195" s="108"/>
      <c r="C195" s="109"/>
      <c r="D195" s="110"/>
      <c r="E195" s="111"/>
      <c r="F195" s="112"/>
      <c r="G195" s="111"/>
      <c r="H195" s="244" t="s">
        <v>105</v>
      </c>
      <c r="I195" s="148" t="s">
        <v>348</v>
      </c>
      <c r="J195" s="149" t="s">
        <v>216</v>
      </c>
      <c r="K195" s="150"/>
      <c r="L195" s="152" t="s">
        <v>348</v>
      </c>
      <c r="M195" s="149" t="s">
        <v>232</v>
      </c>
      <c r="N195" s="154"/>
      <c r="O195" s="154"/>
      <c r="P195" s="154"/>
      <c r="Q195" s="154"/>
      <c r="R195" s="154"/>
      <c r="S195" s="154"/>
      <c r="T195" s="154"/>
      <c r="U195" s="154"/>
      <c r="V195" s="154"/>
      <c r="W195" s="154"/>
      <c r="X195" s="155"/>
      <c r="Y195" s="105"/>
      <c r="Z195" s="105"/>
      <c r="AA195" s="105"/>
      <c r="AB195" s="106"/>
      <c r="AC195" s="365"/>
      <c r="AD195" s="365"/>
      <c r="AE195" s="365"/>
      <c r="AF195" s="365"/>
      <c r="AI195" s="119" t="str">
        <f>"22:yakinhaiti_code:" &amp; IF(I195="■",1,IF(L195="■",2,0))</f>
        <v>22:yakinhaiti_code:0</v>
      </c>
    </row>
    <row r="196" spans="1:36" s="119" customFormat="1" ht="18.75" customHeight="1" x14ac:dyDescent="0.15">
      <c r="A196" s="107"/>
      <c r="B196" s="108"/>
      <c r="C196" s="109"/>
      <c r="D196" s="110"/>
      <c r="E196" s="111"/>
      <c r="F196" s="112"/>
      <c r="G196" s="111"/>
      <c r="H196" s="244" t="s">
        <v>99</v>
      </c>
      <c r="I196" s="148" t="s">
        <v>348</v>
      </c>
      <c r="J196" s="149" t="s">
        <v>216</v>
      </c>
      <c r="K196" s="150"/>
      <c r="L196" s="152" t="s">
        <v>348</v>
      </c>
      <c r="M196" s="149" t="s">
        <v>232</v>
      </c>
      <c r="N196" s="154"/>
      <c r="O196" s="154"/>
      <c r="P196" s="154"/>
      <c r="Q196" s="154"/>
      <c r="R196" s="154"/>
      <c r="S196" s="154"/>
      <c r="T196" s="154"/>
      <c r="U196" s="154"/>
      <c r="V196" s="154"/>
      <c r="W196" s="154"/>
      <c r="X196" s="155"/>
      <c r="Y196" s="105"/>
      <c r="Z196" s="105"/>
      <c r="AA196" s="105"/>
      <c r="AB196" s="106"/>
      <c r="AC196" s="365"/>
      <c r="AD196" s="365"/>
      <c r="AE196" s="365"/>
      <c r="AF196" s="365"/>
      <c r="AI196" s="119" t="str">
        <f>"22:ninticare_code:" &amp; IF(I196="■",1,IF(L196="■",2,0))</f>
        <v>22:ninticare_code:0</v>
      </c>
    </row>
    <row r="197" spans="1:36" s="119" customFormat="1" ht="18.75" customHeight="1" x14ac:dyDescent="0.15">
      <c r="A197" s="128" t="s">
        <v>348</v>
      </c>
      <c r="B197" s="108">
        <v>22</v>
      </c>
      <c r="C197" s="109" t="s">
        <v>172</v>
      </c>
      <c r="D197" s="123" t="s">
        <v>348</v>
      </c>
      <c r="E197" s="111" t="s">
        <v>281</v>
      </c>
      <c r="F197" s="123" t="s">
        <v>348</v>
      </c>
      <c r="G197" s="111" t="s">
        <v>278</v>
      </c>
      <c r="H197" s="244" t="s">
        <v>104</v>
      </c>
      <c r="I197" s="148" t="s">
        <v>348</v>
      </c>
      <c r="J197" s="149" t="s">
        <v>216</v>
      </c>
      <c r="K197" s="150"/>
      <c r="L197" s="152" t="s">
        <v>348</v>
      </c>
      <c r="M197" s="149" t="s">
        <v>232</v>
      </c>
      <c r="N197" s="154"/>
      <c r="O197" s="154"/>
      <c r="P197" s="154"/>
      <c r="Q197" s="154"/>
      <c r="R197" s="154"/>
      <c r="S197" s="154"/>
      <c r="T197" s="154"/>
      <c r="U197" s="154"/>
      <c r="V197" s="154"/>
      <c r="W197" s="154"/>
      <c r="X197" s="155"/>
      <c r="Y197" s="105"/>
      <c r="Z197" s="105"/>
      <c r="AA197" s="105"/>
      <c r="AB197" s="106"/>
      <c r="AC197" s="365"/>
      <c r="AD197" s="365"/>
      <c r="AE197" s="365"/>
      <c r="AF197" s="365"/>
      <c r="AI197" s="119" t="str">
        <f>"22:jyakuninti_uke_code:" &amp; IF(I197="■",1,IF(L197="■",2,0))</f>
        <v>22:jyakuninti_uke_code:0</v>
      </c>
    </row>
    <row r="198" spans="1:36" s="119" customFormat="1" ht="18.75" customHeight="1" x14ac:dyDescent="0.15">
      <c r="A198" s="107"/>
      <c r="B198" s="108"/>
      <c r="C198" s="109"/>
      <c r="D198" s="110"/>
      <c r="E198" s="111"/>
      <c r="F198" s="123" t="s">
        <v>348</v>
      </c>
      <c r="G198" s="111" t="s">
        <v>279</v>
      </c>
      <c r="H198" s="244" t="s">
        <v>189</v>
      </c>
      <c r="I198" s="148" t="s">
        <v>348</v>
      </c>
      <c r="J198" s="149" t="s">
        <v>216</v>
      </c>
      <c r="K198" s="149"/>
      <c r="L198" s="152" t="s">
        <v>348</v>
      </c>
      <c r="M198" s="149" t="s">
        <v>217</v>
      </c>
      <c r="N198" s="149"/>
      <c r="O198" s="152" t="s">
        <v>348</v>
      </c>
      <c r="P198" s="149" t="s">
        <v>218</v>
      </c>
      <c r="Q198" s="154"/>
      <c r="R198" s="154"/>
      <c r="S198" s="154"/>
      <c r="T198" s="154"/>
      <c r="U198" s="154"/>
      <c r="V198" s="154"/>
      <c r="W198" s="154"/>
      <c r="X198" s="155"/>
      <c r="Y198" s="105"/>
      <c r="Z198" s="105"/>
      <c r="AA198" s="105"/>
      <c r="AB198" s="106"/>
      <c r="AC198" s="365"/>
      <c r="AD198" s="365"/>
      <c r="AE198" s="365"/>
      <c r="AF198" s="365"/>
      <c r="AI198" s="119" t="str">
        <f>"22:zaitaku_hukki_code:" &amp; IF(I198="■",1,IF(L198="■",2,IF(O198="■",3,0)))</f>
        <v>22:zaitaku_hukki_code:0</v>
      </c>
    </row>
    <row r="199" spans="1:36" s="119" customFormat="1" ht="18.75" customHeight="1" x14ac:dyDescent="0.15">
      <c r="A199" s="107"/>
      <c r="B199" s="108"/>
      <c r="C199" s="109"/>
      <c r="D199" s="110"/>
      <c r="E199" s="111"/>
      <c r="F199" s="112"/>
      <c r="G199" s="111"/>
      <c r="H199" s="244" t="s">
        <v>94</v>
      </c>
      <c r="I199" s="148" t="s">
        <v>348</v>
      </c>
      <c r="J199" s="149" t="s">
        <v>230</v>
      </c>
      <c r="K199" s="150"/>
      <c r="L199" s="151"/>
      <c r="M199" s="152" t="s">
        <v>348</v>
      </c>
      <c r="N199" s="149" t="s">
        <v>231</v>
      </c>
      <c r="O199" s="154"/>
      <c r="P199" s="154"/>
      <c r="Q199" s="154"/>
      <c r="R199" s="154"/>
      <c r="S199" s="154"/>
      <c r="T199" s="154"/>
      <c r="U199" s="154"/>
      <c r="V199" s="154"/>
      <c r="W199" s="154"/>
      <c r="X199" s="155"/>
      <c r="Y199" s="105"/>
      <c r="Z199" s="105"/>
      <c r="AA199" s="105"/>
      <c r="AB199" s="106"/>
      <c r="AC199" s="365"/>
      <c r="AD199" s="365"/>
      <c r="AE199" s="365"/>
      <c r="AF199" s="365"/>
      <c r="AI199" s="119" t="str">
        <f>"22:sougei_code:" &amp; IF(I199="■",1,IF(M199="■",2,0))</f>
        <v>22:sougei_code:0</v>
      </c>
    </row>
    <row r="200" spans="1:36" s="119" customFormat="1" ht="19.5" customHeight="1" x14ac:dyDescent="0.15">
      <c r="A200" s="107"/>
      <c r="B200" s="108"/>
      <c r="C200" s="109"/>
      <c r="D200" s="110"/>
      <c r="E200" s="111"/>
      <c r="F200" s="112"/>
      <c r="G200" s="111"/>
      <c r="H200" s="114" t="s">
        <v>372</v>
      </c>
      <c r="I200" s="148" t="s">
        <v>348</v>
      </c>
      <c r="J200" s="149" t="s">
        <v>216</v>
      </c>
      <c r="K200" s="149"/>
      <c r="L200" s="152" t="s">
        <v>348</v>
      </c>
      <c r="M200" s="149" t="s">
        <v>232</v>
      </c>
      <c r="N200" s="149"/>
      <c r="O200" s="154"/>
      <c r="P200" s="149"/>
      <c r="Q200" s="154"/>
      <c r="R200" s="154"/>
      <c r="S200" s="154"/>
      <c r="T200" s="154"/>
      <c r="U200" s="154"/>
      <c r="V200" s="154"/>
      <c r="W200" s="154"/>
      <c r="X200" s="155"/>
      <c r="Y200" s="105"/>
      <c r="Z200" s="105"/>
      <c r="AA200" s="105"/>
      <c r="AB200" s="106"/>
      <c r="AC200" s="365"/>
      <c r="AD200" s="365"/>
      <c r="AE200" s="365"/>
      <c r="AF200" s="365"/>
      <c r="AI200" s="119" t="str">
        <f>"22:field224:" &amp; IF(I200="■",1,IF(L200="■",2,0))</f>
        <v>22:field224:0</v>
      </c>
    </row>
    <row r="201" spans="1:36" s="119" customFormat="1" ht="18.75" customHeight="1" x14ac:dyDescent="0.15">
      <c r="A201" s="107"/>
      <c r="B201" s="108"/>
      <c r="C201" s="109"/>
      <c r="D201" s="110"/>
      <c r="E201" s="111"/>
      <c r="F201" s="112"/>
      <c r="G201" s="111"/>
      <c r="H201" s="244" t="s">
        <v>106</v>
      </c>
      <c r="I201" s="148" t="s">
        <v>348</v>
      </c>
      <c r="J201" s="149" t="s">
        <v>216</v>
      </c>
      <c r="K201" s="150"/>
      <c r="L201" s="152" t="s">
        <v>348</v>
      </c>
      <c r="M201" s="149" t="s">
        <v>232</v>
      </c>
      <c r="N201" s="154"/>
      <c r="O201" s="154"/>
      <c r="P201" s="154"/>
      <c r="Q201" s="154"/>
      <c r="R201" s="154"/>
      <c r="S201" s="154"/>
      <c r="T201" s="154"/>
      <c r="U201" s="154"/>
      <c r="V201" s="154"/>
      <c r="W201" s="154"/>
      <c r="X201" s="155"/>
      <c r="Y201" s="105"/>
      <c r="Z201" s="105"/>
      <c r="AA201" s="105"/>
      <c r="AB201" s="106"/>
      <c r="AC201" s="365"/>
      <c r="AD201" s="365"/>
      <c r="AE201" s="365"/>
      <c r="AF201" s="365"/>
      <c r="AI201" s="119" t="str">
        <f>"22:ryouyoushoku_code:" &amp; IF(I201="■",1,IF(L201="■",2,0))</f>
        <v>22:ryouyoushoku_code:0</v>
      </c>
    </row>
    <row r="202" spans="1:36" s="119" customFormat="1" ht="18.75" customHeight="1" x14ac:dyDescent="0.15">
      <c r="A202" s="107"/>
      <c r="B202" s="108"/>
      <c r="C202" s="109"/>
      <c r="D202" s="110"/>
      <c r="E202" s="111"/>
      <c r="F202" s="112"/>
      <c r="G202" s="111"/>
      <c r="H202" s="244" t="s">
        <v>165</v>
      </c>
      <c r="I202" s="148" t="s">
        <v>348</v>
      </c>
      <c r="J202" s="149" t="s">
        <v>216</v>
      </c>
      <c r="K202" s="149"/>
      <c r="L202" s="152" t="s">
        <v>348</v>
      </c>
      <c r="M202" s="149" t="s">
        <v>217</v>
      </c>
      <c r="N202" s="149"/>
      <c r="O202" s="152" t="s">
        <v>348</v>
      </c>
      <c r="P202" s="149" t="s">
        <v>218</v>
      </c>
      <c r="Q202" s="154"/>
      <c r="R202" s="154"/>
      <c r="S202" s="154"/>
      <c r="T202" s="154"/>
      <c r="U202" s="154"/>
      <c r="V202" s="154"/>
      <c r="W202" s="154"/>
      <c r="X202" s="155"/>
      <c r="Y202" s="105"/>
      <c r="Z202" s="105"/>
      <c r="AA202" s="105"/>
      <c r="AB202" s="106"/>
      <c r="AC202" s="365"/>
      <c r="AD202" s="365"/>
      <c r="AE202" s="365"/>
      <c r="AF202" s="365"/>
      <c r="AI202" s="119" t="str">
        <f>"22:ninti_senmoncare_code:" &amp; IF(I202="■",1,IF(O202="■",3,IF(L202="■",2,0)))</f>
        <v>22:ninti_senmoncare_code:0</v>
      </c>
    </row>
    <row r="203" spans="1:36" s="119" customFormat="1" ht="18.75" customHeight="1" x14ac:dyDescent="0.15">
      <c r="A203" s="107"/>
      <c r="B203" s="108"/>
      <c r="C203" s="109"/>
      <c r="D203" s="110"/>
      <c r="E203" s="111"/>
      <c r="F203" s="112"/>
      <c r="G203" s="111"/>
      <c r="H203" s="240" t="s">
        <v>385</v>
      </c>
      <c r="I203" s="148" t="s">
        <v>348</v>
      </c>
      <c r="J203" s="149" t="s">
        <v>216</v>
      </c>
      <c r="K203" s="149"/>
      <c r="L203" s="152" t="s">
        <v>348</v>
      </c>
      <c r="M203" s="149" t="s">
        <v>217</v>
      </c>
      <c r="N203" s="149"/>
      <c r="O203" s="152" t="s">
        <v>348</v>
      </c>
      <c r="P203" s="149" t="s">
        <v>218</v>
      </c>
      <c r="Q203" s="154"/>
      <c r="R203" s="154"/>
      <c r="S203" s="154"/>
      <c r="T203" s="154"/>
      <c r="U203" s="241"/>
      <c r="V203" s="241"/>
      <c r="W203" s="241"/>
      <c r="X203" s="242"/>
      <c r="Y203" s="105"/>
      <c r="Z203" s="105"/>
      <c r="AA203" s="105"/>
      <c r="AB203" s="106"/>
      <c r="AC203" s="365"/>
      <c r="AD203" s="365"/>
      <c r="AE203" s="365"/>
      <c r="AF203" s="365"/>
      <c r="AI203" s="119" t="str">
        <f>"22:field225:" &amp; IF(I203="■",1,IF(L203="■",2,IF(O203="■",3,0)))</f>
        <v>22:field225:0</v>
      </c>
    </row>
    <row r="204" spans="1:36" s="119" customFormat="1" ht="18.75" customHeight="1" x14ac:dyDescent="0.15">
      <c r="A204" s="107"/>
      <c r="B204" s="108"/>
      <c r="C204" s="109"/>
      <c r="D204" s="110"/>
      <c r="E204" s="111"/>
      <c r="F204" s="112"/>
      <c r="G204" s="111"/>
      <c r="H204" s="245" t="s">
        <v>111</v>
      </c>
      <c r="I204" s="148" t="s">
        <v>348</v>
      </c>
      <c r="J204" s="149" t="s">
        <v>216</v>
      </c>
      <c r="K204" s="149"/>
      <c r="L204" s="152" t="s">
        <v>348</v>
      </c>
      <c r="M204" s="149" t="s">
        <v>224</v>
      </c>
      <c r="N204" s="149"/>
      <c r="O204" s="152" t="s">
        <v>348</v>
      </c>
      <c r="P204" s="149" t="s">
        <v>225</v>
      </c>
      <c r="Q204" s="196"/>
      <c r="R204" s="152" t="s">
        <v>348</v>
      </c>
      <c r="S204" s="149" t="s">
        <v>248</v>
      </c>
      <c r="T204" s="196"/>
      <c r="U204" s="196"/>
      <c r="V204" s="196"/>
      <c r="W204" s="196"/>
      <c r="X204" s="197"/>
      <c r="Y204" s="105"/>
      <c r="Z204" s="105"/>
      <c r="AA204" s="105"/>
      <c r="AB204" s="106"/>
      <c r="AC204" s="365"/>
      <c r="AD204" s="365"/>
      <c r="AE204" s="365"/>
      <c r="AF204" s="365"/>
      <c r="AI204" s="119" t="str">
        <f>"22:serteikyo_kyoka_code:" &amp; IF(I204="■",1,IF(L204="■",6,IF(O204="■",5,IF(R204="■",7,0))))</f>
        <v>22:serteikyo_kyoka_code:0</v>
      </c>
    </row>
    <row r="205" spans="1:36" s="119" customFormat="1" ht="18.75" customHeight="1" x14ac:dyDescent="0.15">
      <c r="A205" s="107"/>
      <c r="B205" s="108"/>
      <c r="C205" s="109"/>
      <c r="D205" s="110"/>
      <c r="E205" s="111"/>
      <c r="F205" s="112"/>
      <c r="G205" s="111"/>
      <c r="H205" s="329" t="s">
        <v>409</v>
      </c>
      <c r="I205" s="358" t="s">
        <v>348</v>
      </c>
      <c r="J205" s="359" t="s">
        <v>216</v>
      </c>
      <c r="K205" s="359"/>
      <c r="L205" s="360" t="s">
        <v>348</v>
      </c>
      <c r="M205" s="359" t="s">
        <v>232</v>
      </c>
      <c r="N205" s="359"/>
      <c r="O205" s="160"/>
      <c r="P205" s="160"/>
      <c r="Q205" s="160"/>
      <c r="R205" s="160"/>
      <c r="S205" s="160"/>
      <c r="T205" s="160"/>
      <c r="U205" s="160"/>
      <c r="V205" s="160"/>
      <c r="W205" s="160"/>
      <c r="X205" s="163"/>
      <c r="Y205" s="105"/>
      <c r="Z205" s="105"/>
      <c r="AA205" s="105"/>
      <c r="AB205" s="106"/>
      <c r="AC205" s="365"/>
      <c r="AD205" s="365"/>
      <c r="AE205" s="365"/>
      <c r="AF205" s="365"/>
      <c r="AI205" s="119" t="str">
        <f>"22:field221:" &amp; IF(I205="■",1,IF(L205="■",2,0))</f>
        <v>22:field221:0</v>
      </c>
    </row>
    <row r="206" spans="1:36" s="119" customFormat="1" ht="18.75" customHeight="1" x14ac:dyDescent="0.15">
      <c r="A206" s="107"/>
      <c r="B206" s="108"/>
      <c r="C206" s="109"/>
      <c r="D206" s="110"/>
      <c r="E206" s="111"/>
      <c r="F206" s="112"/>
      <c r="G206" s="111"/>
      <c r="H206" s="328"/>
      <c r="I206" s="358"/>
      <c r="J206" s="359"/>
      <c r="K206" s="359"/>
      <c r="L206" s="360"/>
      <c r="M206" s="359"/>
      <c r="N206" s="359"/>
      <c r="O206" s="115"/>
      <c r="P206" s="115"/>
      <c r="Q206" s="115"/>
      <c r="R206" s="115"/>
      <c r="S206" s="115"/>
      <c r="T206" s="115"/>
      <c r="U206" s="115"/>
      <c r="V206" s="115"/>
      <c r="W206" s="115"/>
      <c r="X206" s="161"/>
      <c r="Y206" s="105"/>
      <c r="Z206" s="105"/>
      <c r="AA206" s="105"/>
      <c r="AB206" s="106"/>
      <c r="AC206" s="365"/>
      <c r="AD206" s="365"/>
      <c r="AE206" s="365"/>
      <c r="AF206" s="365"/>
    </row>
    <row r="207" spans="1:36" s="119" customFormat="1" ht="18.75" customHeight="1" x14ac:dyDescent="0.15">
      <c r="A207" s="170"/>
      <c r="B207" s="171"/>
      <c r="C207" s="172"/>
      <c r="D207" s="173"/>
      <c r="E207" s="174"/>
      <c r="F207" s="175"/>
      <c r="G207" s="176"/>
      <c r="H207" s="95" t="s">
        <v>405</v>
      </c>
      <c r="I207" s="177" t="s">
        <v>348</v>
      </c>
      <c r="J207" s="96" t="s">
        <v>216</v>
      </c>
      <c r="K207" s="96"/>
      <c r="L207" s="178" t="s">
        <v>348</v>
      </c>
      <c r="M207" s="96" t="s">
        <v>373</v>
      </c>
      <c r="N207" s="97"/>
      <c r="O207" s="178" t="s">
        <v>348</v>
      </c>
      <c r="P207" s="99" t="s">
        <v>374</v>
      </c>
      <c r="Q207" s="98"/>
      <c r="R207" s="178" t="s">
        <v>348</v>
      </c>
      <c r="S207" s="96" t="s">
        <v>375</v>
      </c>
      <c r="T207" s="98"/>
      <c r="U207" s="178" t="s">
        <v>348</v>
      </c>
      <c r="V207" s="96" t="s">
        <v>376</v>
      </c>
      <c r="W207" s="100"/>
      <c r="X207" s="101"/>
      <c r="Y207" s="179"/>
      <c r="Z207" s="179"/>
      <c r="AA207" s="179"/>
      <c r="AB207" s="180"/>
      <c r="AC207" s="366"/>
      <c r="AD207" s="366"/>
      <c r="AE207" s="366"/>
      <c r="AF207" s="366"/>
      <c r="AI207" s="119" t="str">
        <f>"22:shoguukaizen_code:"&amp;IF(I207="■",1,IF(L207="■",7,IF(O207="■",8,IF(R207="■",9,IF(U207="■","A",0)))))</f>
        <v>22:shoguukaizen_code:0</v>
      </c>
    </row>
    <row r="208" spans="1:36" s="119" customFormat="1" ht="18.75" customHeight="1" x14ac:dyDescent="0.15">
      <c r="A208" s="130"/>
      <c r="B208" s="131"/>
      <c r="C208" s="132"/>
      <c r="D208" s="133"/>
      <c r="E208" s="126"/>
      <c r="F208" s="134"/>
      <c r="G208" s="126"/>
      <c r="H208" s="214" t="s">
        <v>96</v>
      </c>
      <c r="I208" s="183" t="s">
        <v>348</v>
      </c>
      <c r="J208" s="184" t="s">
        <v>265</v>
      </c>
      <c r="K208" s="185"/>
      <c r="L208" s="186"/>
      <c r="M208" s="187" t="s">
        <v>348</v>
      </c>
      <c r="N208" s="184" t="s">
        <v>266</v>
      </c>
      <c r="O208" s="188"/>
      <c r="P208" s="188"/>
      <c r="Q208" s="188"/>
      <c r="R208" s="188"/>
      <c r="S208" s="188"/>
      <c r="T208" s="188"/>
      <c r="U208" s="188"/>
      <c r="V208" s="188"/>
      <c r="W208" s="188"/>
      <c r="X208" s="189"/>
      <c r="Y208" s="136" t="s">
        <v>348</v>
      </c>
      <c r="Z208" s="124" t="s">
        <v>215</v>
      </c>
      <c r="AA208" s="124"/>
      <c r="AB208" s="139"/>
      <c r="AC208" s="363"/>
      <c r="AD208" s="363"/>
      <c r="AE208" s="363"/>
      <c r="AF208" s="363"/>
      <c r="AG208" s="119" t="str">
        <f>"ser_code = '" &amp; IF(A219="■",22,"") &amp; "'"</f>
        <v>ser_code = ''</v>
      </c>
      <c r="AI208" s="119" t="str">
        <f>"22:yakan_kinmu_code:" &amp; IF(I208="■",1,IF(M208="■",6,0))</f>
        <v>22:yakan_kinmu_code:0</v>
      </c>
      <c r="AJ208" s="119" t="str">
        <f>"22:field203:" &amp; IF(Y208="■",1,IF(Y209="■",2,0))</f>
        <v>22:field203:0</v>
      </c>
    </row>
    <row r="209" spans="1:38" s="119" customFormat="1" ht="18.75" customHeight="1" x14ac:dyDescent="0.15">
      <c r="A209" s="107"/>
      <c r="B209" s="108"/>
      <c r="C209" s="109"/>
      <c r="D209" s="110"/>
      <c r="E209" s="111"/>
      <c r="F209" s="112"/>
      <c r="G209" s="111"/>
      <c r="H209" s="370" t="s">
        <v>162</v>
      </c>
      <c r="I209" s="194" t="s">
        <v>348</v>
      </c>
      <c r="J209" s="160" t="s">
        <v>216</v>
      </c>
      <c r="K209" s="160"/>
      <c r="L209" s="205"/>
      <c r="M209" s="195" t="s">
        <v>348</v>
      </c>
      <c r="N209" s="160" t="s">
        <v>254</v>
      </c>
      <c r="O209" s="160"/>
      <c r="P209" s="205"/>
      <c r="Q209" s="195" t="s">
        <v>348</v>
      </c>
      <c r="R209" s="198" t="s">
        <v>255</v>
      </c>
      <c r="S209" s="198"/>
      <c r="T209" s="198"/>
      <c r="U209" s="195" t="s">
        <v>348</v>
      </c>
      <c r="V209" s="198" t="s">
        <v>256</v>
      </c>
      <c r="W209" s="198"/>
      <c r="X209" s="199"/>
      <c r="Y209" s="123" t="s">
        <v>348</v>
      </c>
      <c r="Z209" s="104" t="s">
        <v>221</v>
      </c>
      <c r="AA209" s="105"/>
      <c r="AB209" s="106"/>
      <c r="AC209" s="365"/>
      <c r="AD209" s="365"/>
      <c r="AE209" s="365"/>
      <c r="AF209" s="365"/>
      <c r="AG209" s="119" t="str">
        <f>"22:sisetukbn_code:" &amp; IF(D218="■",5,IF(D219="■",7,0))</f>
        <v>22:sisetukbn_code:0</v>
      </c>
      <c r="AI209" s="119" t="str">
        <f>"22:"&amp;IF(AND(I209="□",M209="□",Q209="□",U209="□",I210="□",M210="□",Q210="□"),"ketu_doctor_code:0",IF(I209="■","ketu_doctor_code:1:ketu_kangos_code:1:ketu_kshoku_code:1:ketu_rryoho_code:1:ketu_sryoho_code:1:ketu_gengo_code:1",
IF(M209="■","ketu_doctor_code:2","ketu_doctor_code:1")
&amp;IF(Q209="■",":ketu_kangos_code:2",":ketu_kangos_code:1")
&amp;IF(U209="■",":ketu_kshoku_code:2",":ketu_kshoku_code:1")
&amp;IF(I210="■",":ketu_rryoho_code:2",":ketu_rryoho_code:1")
&amp;IF(M210="■",":ketu_sryoho_code:2",":ketu_sryoho_code:1")
&amp;IF(Q210="■",":ketu_gengo_code:2",":ketu_gengo_code:1")))</f>
        <v>22:ketu_doctor_code:0</v>
      </c>
    </row>
    <row r="210" spans="1:38" s="119" customFormat="1" ht="18.75" customHeight="1" x14ac:dyDescent="0.15">
      <c r="A210" s="107"/>
      <c r="B210" s="108"/>
      <c r="C210" s="109"/>
      <c r="D210" s="110"/>
      <c r="E210" s="111"/>
      <c r="F210" s="112"/>
      <c r="G210" s="111"/>
      <c r="H210" s="371"/>
      <c r="I210" s="143" t="s">
        <v>348</v>
      </c>
      <c r="J210" s="115" t="s">
        <v>257</v>
      </c>
      <c r="K210" s="115"/>
      <c r="L210" s="116"/>
      <c r="M210" s="191" t="s">
        <v>348</v>
      </c>
      <c r="N210" s="115" t="s">
        <v>258</v>
      </c>
      <c r="O210" s="115"/>
      <c r="P210" s="116"/>
      <c r="Q210" s="191" t="s">
        <v>348</v>
      </c>
      <c r="R210" s="144" t="s">
        <v>259</v>
      </c>
      <c r="S210" s="144"/>
      <c r="T210" s="144"/>
      <c r="U210" s="144"/>
      <c r="V210" s="144"/>
      <c r="W210" s="144"/>
      <c r="X210" s="226"/>
      <c r="Y210" s="147"/>
      <c r="Z210" s="105"/>
      <c r="AA210" s="105"/>
      <c r="AB210" s="106"/>
      <c r="AC210" s="365"/>
      <c r="AD210" s="365"/>
      <c r="AE210" s="365"/>
      <c r="AF210" s="365"/>
    </row>
    <row r="211" spans="1:38" s="119" customFormat="1" ht="18.75" customHeight="1" x14ac:dyDescent="0.15">
      <c r="A211" s="107"/>
      <c r="B211" s="108"/>
      <c r="C211" s="109"/>
      <c r="D211" s="110"/>
      <c r="E211" s="111"/>
      <c r="F211" s="112"/>
      <c r="G211" s="111"/>
      <c r="H211" s="230" t="s">
        <v>97</v>
      </c>
      <c r="I211" s="148" t="s">
        <v>348</v>
      </c>
      <c r="J211" s="149" t="s">
        <v>230</v>
      </c>
      <c r="K211" s="150"/>
      <c r="L211" s="151"/>
      <c r="M211" s="152" t="s">
        <v>348</v>
      </c>
      <c r="N211" s="149" t="s">
        <v>231</v>
      </c>
      <c r="O211" s="154"/>
      <c r="P211" s="154"/>
      <c r="Q211" s="154"/>
      <c r="R211" s="154"/>
      <c r="S211" s="154"/>
      <c r="T211" s="154"/>
      <c r="U211" s="154"/>
      <c r="V211" s="154"/>
      <c r="W211" s="154"/>
      <c r="X211" s="155"/>
      <c r="Y211" s="147"/>
      <c r="Z211" s="105"/>
      <c r="AA211" s="105"/>
      <c r="AB211" s="106"/>
      <c r="AC211" s="365"/>
      <c r="AD211" s="365"/>
      <c r="AE211" s="365"/>
      <c r="AF211" s="365"/>
      <c r="AI211" s="119" t="str">
        <f>"22:unitcare_code:" &amp; IF(I211="■",1,IF(M211="■",2,0))</f>
        <v>22:unitcare_code:0</v>
      </c>
    </row>
    <row r="212" spans="1:38" s="119" customFormat="1" ht="18.75" customHeight="1" x14ac:dyDescent="0.15">
      <c r="A212" s="107"/>
      <c r="B212" s="108"/>
      <c r="C212" s="238"/>
      <c r="D212" s="239"/>
      <c r="E212" s="111"/>
      <c r="F212" s="112"/>
      <c r="G212" s="113"/>
      <c r="H212" s="230" t="s">
        <v>103</v>
      </c>
      <c r="I212" s="148" t="s">
        <v>348</v>
      </c>
      <c r="J212" s="149" t="s">
        <v>360</v>
      </c>
      <c r="K212" s="150"/>
      <c r="L212" s="151"/>
      <c r="M212" s="152" t="s">
        <v>348</v>
      </c>
      <c r="N212" s="149" t="s">
        <v>361</v>
      </c>
      <c r="O212" s="150"/>
      <c r="P212" s="150"/>
      <c r="Q212" s="150"/>
      <c r="R212" s="150"/>
      <c r="S212" s="150"/>
      <c r="T212" s="150"/>
      <c r="U212" s="150"/>
      <c r="V212" s="150"/>
      <c r="W212" s="150"/>
      <c r="X212" s="159"/>
      <c r="Y212" s="147"/>
      <c r="Z212" s="105"/>
      <c r="AA212" s="105"/>
      <c r="AB212" s="106"/>
      <c r="AC212" s="365"/>
      <c r="AD212" s="365"/>
      <c r="AE212" s="365"/>
      <c r="AF212" s="365"/>
      <c r="AI212" s="119" t="str">
        <f>"22:sintaikousoku_code:" &amp; IF(I212="■",1,IF(M212="■",2,0))</f>
        <v>22:sintaikousoku_code:0</v>
      </c>
    </row>
    <row r="213" spans="1:38" s="119" customFormat="1" ht="19.5" customHeight="1" x14ac:dyDescent="0.15">
      <c r="A213" s="107"/>
      <c r="B213" s="108"/>
      <c r="C213" s="109"/>
      <c r="D213" s="110"/>
      <c r="E213" s="111"/>
      <c r="F213" s="112"/>
      <c r="G213" s="113"/>
      <c r="H213" s="114" t="s">
        <v>369</v>
      </c>
      <c r="I213" s="148" t="s">
        <v>348</v>
      </c>
      <c r="J213" s="149" t="s">
        <v>360</v>
      </c>
      <c r="K213" s="150"/>
      <c r="L213" s="151"/>
      <c r="M213" s="152" t="s">
        <v>348</v>
      </c>
      <c r="N213" s="149" t="s">
        <v>370</v>
      </c>
      <c r="O213" s="153"/>
      <c r="P213" s="149"/>
      <c r="Q213" s="154"/>
      <c r="R213" s="154"/>
      <c r="S213" s="154"/>
      <c r="T213" s="154"/>
      <c r="U213" s="154"/>
      <c r="V213" s="154"/>
      <c r="W213" s="154"/>
      <c r="X213" s="155"/>
      <c r="Y213" s="105"/>
      <c r="Z213" s="105"/>
      <c r="AA213" s="105"/>
      <c r="AB213" s="106"/>
      <c r="AC213" s="365"/>
      <c r="AD213" s="365"/>
      <c r="AE213" s="365"/>
      <c r="AF213" s="365"/>
      <c r="AI213" s="119" t="str">
        <f>"22:field223:" &amp; IF(I213="■",1,IF(M213="■",2,0))</f>
        <v>22:field223:0</v>
      </c>
    </row>
    <row r="214" spans="1:38" s="119" customFormat="1" ht="19.5" customHeight="1" x14ac:dyDescent="0.15">
      <c r="A214" s="107"/>
      <c r="B214" s="108"/>
      <c r="C214" s="109"/>
      <c r="D214" s="110"/>
      <c r="E214" s="111"/>
      <c r="F214" s="112"/>
      <c r="G214" s="113"/>
      <c r="H214" s="114" t="s">
        <v>390</v>
      </c>
      <c r="I214" s="148" t="s">
        <v>348</v>
      </c>
      <c r="J214" s="149" t="s">
        <v>360</v>
      </c>
      <c r="K214" s="150"/>
      <c r="L214" s="151"/>
      <c r="M214" s="152" t="s">
        <v>348</v>
      </c>
      <c r="N214" s="149" t="s">
        <v>370</v>
      </c>
      <c r="O214" s="153"/>
      <c r="P214" s="149"/>
      <c r="Q214" s="154"/>
      <c r="R214" s="154"/>
      <c r="S214" s="154"/>
      <c r="T214" s="154"/>
      <c r="U214" s="154"/>
      <c r="V214" s="154"/>
      <c r="W214" s="154"/>
      <c r="X214" s="155"/>
      <c r="Y214" s="105"/>
      <c r="Z214" s="105"/>
      <c r="AA214" s="105"/>
      <c r="AB214" s="106"/>
      <c r="AC214" s="365"/>
      <c r="AD214" s="365"/>
      <c r="AE214" s="365"/>
      <c r="AF214" s="365"/>
      <c r="AI214" s="119" t="str">
        <f>"22:field232:" &amp; IF(I214="■",1,IF(M214="■",2,0))</f>
        <v>22:field232:0</v>
      </c>
    </row>
    <row r="215" spans="1:38" ht="19.5" customHeight="1" x14ac:dyDescent="0.15">
      <c r="A215" s="107"/>
      <c r="B215" s="108"/>
      <c r="C215" s="109"/>
      <c r="D215" s="110"/>
      <c r="E215" s="111"/>
      <c r="F215" s="112"/>
      <c r="G215" s="113"/>
      <c r="H215" s="114" t="s">
        <v>455</v>
      </c>
      <c r="I215" s="148" t="s">
        <v>348</v>
      </c>
      <c r="J215" s="115" t="s">
        <v>453</v>
      </c>
      <c r="K215" s="166"/>
      <c r="L215" s="116"/>
      <c r="M215" s="152" t="s">
        <v>348</v>
      </c>
      <c r="N215" s="115" t="s">
        <v>454</v>
      </c>
      <c r="O215" s="236"/>
      <c r="P215" s="115"/>
      <c r="Q215" s="145"/>
      <c r="R215" s="145"/>
      <c r="S215" s="145"/>
      <c r="T215" s="145"/>
      <c r="U215" s="145"/>
      <c r="V215" s="145"/>
      <c r="W215" s="145"/>
      <c r="X215" s="146"/>
      <c r="Y215" s="162"/>
      <c r="Z215" s="104"/>
      <c r="AA215" s="105"/>
      <c r="AB215" s="106"/>
      <c r="AC215" s="365"/>
      <c r="AD215" s="365"/>
      <c r="AE215" s="365"/>
      <c r="AF215" s="365"/>
      <c r="AG215" s="103"/>
      <c r="AH215" s="103"/>
      <c r="AI215" s="119" t="str">
        <f>"22:field242:" &amp; IF(I215="■",1,IF(M215="■",2,0))</f>
        <v>22:field242:0</v>
      </c>
      <c r="AJ215" s="103"/>
      <c r="AK215" s="103"/>
      <c r="AL215" s="103"/>
    </row>
    <row r="216" spans="1:38" s="119" customFormat="1" ht="18.75" customHeight="1" x14ac:dyDescent="0.15">
      <c r="A216" s="107"/>
      <c r="B216" s="108"/>
      <c r="C216" s="109"/>
      <c r="D216" s="110"/>
      <c r="E216" s="111"/>
      <c r="F216" s="112"/>
      <c r="G216" s="111"/>
      <c r="H216" s="230" t="s">
        <v>105</v>
      </c>
      <c r="I216" s="148" t="s">
        <v>348</v>
      </c>
      <c r="J216" s="149" t="s">
        <v>216</v>
      </c>
      <c r="K216" s="150"/>
      <c r="L216" s="152" t="s">
        <v>348</v>
      </c>
      <c r="M216" s="149" t="s">
        <v>232</v>
      </c>
      <c r="N216" s="154"/>
      <c r="O216" s="154"/>
      <c r="P216" s="154"/>
      <c r="Q216" s="154"/>
      <c r="R216" s="154"/>
      <c r="S216" s="154"/>
      <c r="T216" s="154"/>
      <c r="U216" s="154"/>
      <c r="V216" s="154"/>
      <c r="W216" s="154"/>
      <c r="X216" s="155"/>
      <c r="Y216" s="147"/>
      <c r="Z216" s="105"/>
      <c r="AA216" s="105"/>
      <c r="AB216" s="106"/>
      <c r="AC216" s="365"/>
      <c r="AD216" s="365"/>
      <c r="AE216" s="365"/>
      <c r="AF216" s="365"/>
      <c r="AI216" s="119" t="str">
        <f>"22:yakinhaiti_code:" &amp; IF(I216="■",1,IF(L216="■",2,0))</f>
        <v>22:yakinhaiti_code:0</v>
      </c>
    </row>
    <row r="217" spans="1:38" s="119" customFormat="1" ht="18.75" customHeight="1" x14ac:dyDescent="0.15">
      <c r="A217" s="107"/>
      <c r="B217" s="108"/>
      <c r="C217" s="109"/>
      <c r="D217" s="110"/>
      <c r="E217" s="111"/>
      <c r="F217" s="112"/>
      <c r="G217" s="111"/>
      <c r="H217" s="230" t="s">
        <v>107</v>
      </c>
      <c r="I217" s="148" t="s">
        <v>348</v>
      </c>
      <c r="J217" s="149" t="s">
        <v>282</v>
      </c>
      <c r="K217" s="149"/>
      <c r="L217" s="151"/>
      <c r="M217" s="151"/>
      <c r="N217" s="152" t="s">
        <v>348</v>
      </c>
      <c r="O217" s="149" t="s">
        <v>283</v>
      </c>
      <c r="P217" s="154"/>
      <c r="Q217" s="154"/>
      <c r="R217" s="154"/>
      <c r="S217" s="152" t="s">
        <v>348</v>
      </c>
      <c r="T217" s="149" t="s">
        <v>284</v>
      </c>
      <c r="U217" s="154"/>
      <c r="V217" s="154"/>
      <c r="W217" s="154"/>
      <c r="X217" s="155"/>
      <c r="Y217" s="147"/>
      <c r="Z217" s="105"/>
      <c r="AA217" s="105"/>
      <c r="AB217" s="106"/>
      <c r="AC217" s="365"/>
      <c r="AD217" s="365"/>
      <c r="AE217" s="365"/>
      <c r="AF217" s="365"/>
      <c r="AI217" s="119" t="str">
        <f>"22:"&amp;IF(AND(I217="□",N217="□",S217="□"),"koriha_gengo_code:0:riha_seisin_code:0:koriha_other_code:0",IF(I217="■","koriha_gengo_code:2","koriha_gengo_code:1")
&amp;IF(N217="■",":riha_seisin_code:2",":riha_seisin_code:1")
&amp;IF(S217="■",":koriha_other_code:2",":koriha_other_code:1"))</f>
        <v>22:koriha_gengo_code:0:riha_seisin_code:0:koriha_other_code:0</v>
      </c>
    </row>
    <row r="218" spans="1:38" s="119" customFormat="1" ht="18.75" customHeight="1" x14ac:dyDescent="0.15">
      <c r="A218" s="107"/>
      <c r="B218" s="108"/>
      <c r="C218" s="109"/>
      <c r="D218" s="123" t="s">
        <v>348</v>
      </c>
      <c r="E218" s="111" t="s">
        <v>287</v>
      </c>
      <c r="F218" s="112"/>
      <c r="G218" s="111"/>
      <c r="H218" s="230" t="s">
        <v>99</v>
      </c>
      <c r="I218" s="148" t="s">
        <v>348</v>
      </c>
      <c r="J218" s="149" t="s">
        <v>216</v>
      </c>
      <c r="K218" s="150"/>
      <c r="L218" s="152" t="s">
        <v>348</v>
      </c>
      <c r="M218" s="149" t="s">
        <v>232</v>
      </c>
      <c r="N218" s="154"/>
      <c r="O218" s="154"/>
      <c r="P218" s="154"/>
      <c r="Q218" s="154"/>
      <c r="R218" s="154"/>
      <c r="S218" s="154"/>
      <c r="T218" s="154"/>
      <c r="U218" s="154"/>
      <c r="V218" s="154"/>
      <c r="W218" s="154"/>
      <c r="X218" s="155"/>
      <c r="Y218" s="147"/>
      <c r="Z218" s="105"/>
      <c r="AA218" s="105"/>
      <c r="AB218" s="106"/>
      <c r="AC218" s="365"/>
      <c r="AD218" s="365"/>
      <c r="AE218" s="365"/>
      <c r="AF218" s="365"/>
      <c r="AI218" s="119" t="str">
        <f>"22:ninticare_code:" &amp; IF(I218="■",1,IF(L218="■",2,0))</f>
        <v>22:ninticare_code:0</v>
      </c>
    </row>
    <row r="219" spans="1:38" s="119" customFormat="1" ht="18.75" customHeight="1" x14ac:dyDescent="0.15">
      <c r="A219" s="128" t="s">
        <v>348</v>
      </c>
      <c r="B219" s="108">
        <v>22</v>
      </c>
      <c r="C219" s="109" t="s">
        <v>172</v>
      </c>
      <c r="D219" s="123" t="s">
        <v>348</v>
      </c>
      <c r="E219" s="111" t="s">
        <v>289</v>
      </c>
      <c r="F219" s="112"/>
      <c r="G219" s="111"/>
      <c r="H219" s="230" t="s">
        <v>104</v>
      </c>
      <c r="I219" s="148" t="s">
        <v>348</v>
      </c>
      <c r="J219" s="149" t="s">
        <v>216</v>
      </c>
      <c r="K219" s="150"/>
      <c r="L219" s="152" t="s">
        <v>348</v>
      </c>
      <c r="M219" s="149" t="s">
        <v>232</v>
      </c>
      <c r="N219" s="154"/>
      <c r="O219" s="154"/>
      <c r="P219" s="154"/>
      <c r="Q219" s="154"/>
      <c r="R219" s="154"/>
      <c r="S219" s="154"/>
      <c r="T219" s="154"/>
      <c r="U219" s="154"/>
      <c r="V219" s="154"/>
      <c r="W219" s="154"/>
      <c r="X219" s="155"/>
      <c r="Y219" s="147"/>
      <c r="Z219" s="105"/>
      <c r="AA219" s="105"/>
      <c r="AB219" s="106"/>
      <c r="AC219" s="365"/>
      <c r="AD219" s="365"/>
      <c r="AE219" s="365"/>
      <c r="AF219" s="365"/>
      <c r="AI219" s="119" t="str">
        <f>"22:jyakuninti_uke_code:" &amp; IF(I219="■",1,IF(L219="■",2,0))</f>
        <v>22:jyakuninti_uke_code:0</v>
      </c>
    </row>
    <row r="220" spans="1:38" s="119" customFormat="1" ht="18.75" customHeight="1" x14ac:dyDescent="0.15">
      <c r="A220" s="107"/>
      <c r="B220" s="108"/>
      <c r="C220" s="109"/>
      <c r="D220" s="110"/>
      <c r="E220" s="111"/>
      <c r="F220" s="112"/>
      <c r="G220" s="111"/>
      <c r="H220" s="230" t="s">
        <v>94</v>
      </c>
      <c r="I220" s="148" t="s">
        <v>348</v>
      </c>
      <c r="J220" s="149" t="s">
        <v>230</v>
      </c>
      <c r="K220" s="150"/>
      <c r="L220" s="151"/>
      <c r="M220" s="152" t="s">
        <v>348</v>
      </c>
      <c r="N220" s="149" t="s">
        <v>231</v>
      </c>
      <c r="O220" s="154"/>
      <c r="P220" s="154"/>
      <c r="Q220" s="154"/>
      <c r="R220" s="154"/>
      <c r="S220" s="154"/>
      <c r="T220" s="154"/>
      <c r="U220" s="154"/>
      <c r="V220" s="154"/>
      <c r="W220" s="154"/>
      <c r="X220" s="155"/>
      <c r="Y220" s="147"/>
      <c r="Z220" s="105"/>
      <c r="AA220" s="105"/>
      <c r="AB220" s="106"/>
      <c r="AC220" s="365"/>
      <c r="AD220" s="365"/>
      <c r="AE220" s="365"/>
      <c r="AF220" s="365"/>
      <c r="AI220" s="119" t="str">
        <f>"22:sougei_code:" &amp; IF(I220="■",1,IF(M220="■",2,0))</f>
        <v>22:sougei_code:0</v>
      </c>
    </row>
    <row r="221" spans="1:38" s="119" customFormat="1" ht="18.75" customHeight="1" x14ac:dyDescent="0.15">
      <c r="A221" s="107"/>
      <c r="B221" s="108"/>
      <c r="C221" s="109"/>
      <c r="D221" s="110"/>
      <c r="E221" s="111"/>
      <c r="F221" s="112"/>
      <c r="G221" s="111"/>
      <c r="H221" s="230" t="s">
        <v>108</v>
      </c>
      <c r="I221" s="148" t="s">
        <v>348</v>
      </c>
      <c r="J221" s="149" t="s">
        <v>285</v>
      </c>
      <c r="K221" s="154"/>
      <c r="L221" s="154"/>
      <c r="M221" s="154"/>
      <c r="N221" s="154"/>
      <c r="O221" s="154"/>
      <c r="P221" s="152" t="s">
        <v>348</v>
      </c>
      <c r="Q221" s="149" t="s">
        <v>286</v>
      </c>
      <c r="R221" s="154"/>
      <c r="S221" s="196"/>
      <c r="T221" s="154"/>
      <c r="U221" s="154"/>
      <c r="V221" s="154"/>
      <c r="W221" s="154"/>
      <c r="X221" s="155"/>
      <c r="Y221" s="147"/>
      <c r="Z221" s="105"/>
      <c r="AA221" s="105"/>
      <c r="AB221" s="106"/>
      <c r="AC221" s="365"/>
      <c r="AD221" s="365"/>
      <c r="AE221" s="365"/>
      <c r="AF221" s="365"/>
      <c r="AI221" s="119" t="str">
        <f>"22:" &amp; IF(AND(I221="□",P221="□"),"tokusin_jyusho_code:0:tokusin_yakuzai_code:0",IF(I221="■","tokusin_jyusho_code:2","tokusin_jyusho_code:1")
&amp;IF(P221="■",":tokusin_yakuzai_code:2",":tokusin_yakuzai_code:1"))</f>
        <v>22:tokusin_jyusho_code:0:tokusin_yakuzai_code:0</v>
      </c>
    </row>
    <row r="222" spans="1:38" s="119" customFormat="1" ht="18.75" customHeight="1" x14ac:dyDescent="0.15">
      <c r="A222" s="107"/>
      <c r="B222" s="108"/>
      <c r="C222" s="109"/>
      <c r="D222" s="110"/>
      <c r="E222" s="111"/>
      <c r="F222" s="112"/>
      <c r="G222" s="111"/>
      <c r="H222" s="230" t="s">
        <v>157</v>
      </c>
      <c r="I222" s="148" t="s">
        <v>348</v>
      </c>
      <c r="J222" s="149" t="s">
        <v>216</v>
      </c>
      <c r="K222" s="150"/>
      <c r="L222" s="152" t="s">
        <v>348</v>
      </c>
      <c r="M222" s="149" t="s">
        <v>232</v>
      </c>
      <c r="N222" s="196"/>
      <c r="O222" s="196"/>
      <c r="P222" s="196"/>
      <c r="Q222" s="196"/>
      <c r="R222" s="196"/>
      <c r="S222" s="196"/>
      <c r="T222" s="196"/>
      <c r="U222" s="196"/>
      <c r="V222" s="196"/>
      <c r="W222" s="196"/>
      <c r="X222" s="197"/>
      <c r="Y222" s="147"/>
      <c r="Z222" s="105"/>
      <c r="AA222" s="105"/>
      <c r="AB222" s="106"/>
      <c r="AC222" s="365"/>
      <c r="AD222" s="365"/>
      <c r="AE222" s="365"/>
      <c r="AF222" s="365"/>
      <c r="AI222" s="119" t="str">
        <f>"22:field198:" &amp; IF(I222="■",1,IF(L222="■",2,0))</f>
        <v>22:field198:0</v>
      </c>
    </row>
    <row r="223" spans="1:38" s="119" customFormat="1" ht="18.75" customHeight="1" x14ac:dyDescent="0.15">
      <c r="A223" s="107"/>
      <c r="B223" s="108"/>
      <c r="C223" s="109"/>
      <c r="D223" s="110"/>
      <c r="E223" s="111"/>
      <c r="F223" s="112"/>
      <c r="G223" s="111"/>
      <c r="H223" s="230" t="s">
        <v>158</v>
      </c>
      <c r="I223" s="148" t="s">
        <v>348</v>
      </c>
      <c r="J223" s="149" t="s">
        <v>216</v>
      </c>
      <c r="K223" s="150"/>
      <c r="L223" s="152" t="s">
        <v>348</v>
      </c>
      <c r="M223" s="149" t="s">
        <v>232</v>
      </c>
      <c r="N223" s="196"/>
      <c r="O223" s="196"/>
      <c r="P223" s="196"/>
      <c r="Q223" s="196"/>
      <c r="R223" s="196"/>
      <c r="S223" s="196"/>
      <c r="T223" s="196"/>
      <c r="U223" s="196"/>
      <c r="V223" s="196"/>
      <c r="W223" s="196"/>
      <c r="X223" s="197"/>
      <c r="Y223" s="147"/>
      <c r="Z223" s="105"/>
      <c r="AA223" s="105"/>
      <c r="AB223" s="106"/>
      <c r="AC223" s="365"/>
      <c r="AD223" s="365"/>
      <c r="AE223" s="365"/>
      <c r="AF223" s="365"/>
      <c r="AI223" s="119" t="str">
        <f>"22:field199:" &amp; IF(I223="■",1,IF(L223="■",2,0))</f>
        <v>22:field199:0</v>
      </c>
    </row>
    <row r="224" spans="1:38" s="119" customFormat="1" ht="19.5" customHeight="1" x14ac:dyDescent="0.15">
      <c r="A224" s="107"/>
      <c r="B224" s="108"/>
      <c r="C224" s="109"/>
      <c r="D224" s="110"/>
      <c r="E224" s="111"/>
      <c r="F224" s="112"/>
      <c r="G224" s="113"/>
      <c r="H224" s="114" t="s">
        <v>372</v>
      </c>
      <c r="I224" s="148" t="s">
        <v>348</v>
      </c>
      <c r="J224" s="149" t="s">
        <v>216</v>
      </c>
      <c r="K224" s="149"/>
      <c r="L224" s="152" t="s">
        <v>348</v>
      </c>
      <c r="M224" s="149" t="s">
        <v>232</v>
      </c>
      <c r="N224" s="149"/>
      <c r="O224" s="154"/>
      <c r="P224" s="149"/>
      <c r="Q224" s="154"/>
      <c r="R224" s="154"/>
      <c r="S224" s="154"/>
      <c r="T224" s="154"/>
      <c r="U224" s="154"/>
      <c r="V224" s="154"/>
      <c r="W224" s="154"/>
      <c r="X224" s="155"/>
      <c r="Y224" s="105"/>
      <c r="Z224" s="105"/>
      <c r="AA224" s="105"/>
      <c r="AB224" s="106"/>
      <c r="AC224" s="365"/>
      <c r="AD224" s="365"/>
      <c r="AE224" s="365"/>
      <c r="AF224" s="365"/>
      <c r="AI224" s="119" t="str">
        <f>"22:field224:" &amp; IF(I224="■",1,IF(L224="■",2,0))</f>
        <v>22:field224:0</v>
      </c>
    </row>
    <row r="225" spans="1:36" s="119" customFormat="1" ht="18.75" customHeight="1" x14ac:dyDescent="0.15">
      <c r="A225" s="107"/>
      <c r="B225" s="108"/>
      <c r="C225" s="109"/>
      <c r="D225" s="110"/>
      <c r="E225" s="111"/>
      <c r="F225" s="112"/>
      <c r="G225" s="111"/>
      <c r="H225" s="230" t="s">
        <v>106</v>
      </c>
      <c r="I225" s="148" t="s">
        <v>348</v>
      </c>
      <c r="J225" s="149" t="s">
        <v>216</v>
      </c>
      <c r="K225" s="150"/>
      <c r="L225" s="152" t="s">
        <v>348</v>
      </c>
      <c r="M225" s="149" t="s">
        <v>232</v>
      </c>
      <c r="N225" s="154"/>
      <c r="O225" s="154"/>
      <c r="P225" s="154"/>
      <c r="Q225" s="154"/>
      <c r="R225" s="154"/>
      <c r="S225" s="154"/>
      <c r="T225" s="154"/>
      <c r="U225" s="154"/>
      <c r="V225" s="154"/>
      <c r="W225" s="154"/>
      <c r="X225" s="155"/>
      <c r="Y225" s="147"/>
      <c r="Z225" s="105"/>
      <c r="AA225" s="105"/>
      <c r="AB225" s="106"/>
      <c r="AC225" s="365"/>
      <c r="AD225" s="365"/>
      <c r="AE225" s="365"/>
      <c r="AF225" s="365"/>
      <c r="AI225" s="119" t="str">
        <f>"22:ryouyoushoku_code:" &amp; IF(I225="■",1,IF(L225="■",2,0))</f>
        <v>22:ryouyoushoku_code:0</v>
      </c>
    </row>
    <row r="226" spans="1:36" s="119" customFormat="1" ht="18.75" customHeight="1" x14ac:dyDescent="0.15">
      <c r="A226" s="107"/>
      <c r="B226" s="108"/>
      <c r="C226" s="109"/>
      <c r="D226" s="110"/>
      <c r="E226" s="111"/>
      <c r="F226" s="112"/>
      <c r="G226" s="111"/>
      <c r="H226" s="230" t="s">
        <v>165</v>
      </c>
      <c r="I226" s="148" t="s">
        <v>348</v>
      </c>
      <c r="J226" s="149" t="s">
        <v>216</v>
      </c>
      <c r="K226" s="149"/>
      <c r="L226" s="152" t="s">
        <v>348</v>
      </c>
      <c r="M226" s="149" t="s">
        <v>217</v>
      </c>
      <c r="N226" s="149"/>
      <c r="O226" s="152" t="s">
        <v>348</v>
      </c>
      <c r="P226" s="149" t="s">
        <v>218</v>
      </c>
      <c r="Q226" s="154"/>
      <c r="R226" s="154"/>
      <c r="S226" s="154"/>
      <c r="T226" s="154"/>
      <c r="U226" s="154"/>
      <c r="V226" s="154"/>
      <c r="W226" s="154"/>
      <c r="X226" s="155"/>
      <c r="Y226" s="147"/>
      <c r="Z226" s="105"/>
      <c r="AA226" s="105"/>
      <c r="AB226" s="106"/>
      <c r="AC226" s="365"/>
      <c r="AD226" s="365"/>
      <c r="AE226" s="365"/>
      <c r="AF226" s="365"/>
      <c r="AI226" s="119" t="str">
        <f>"22:ninti_senmoncare_code:" &amp; IF(I226="■",1,IF(O226="■",3,IF(L226="■",2,0)))</f>
        <v>22:ninti_senmoncare_code:0</v>
      </c>
    </row>
    <row r="227" spans="1:36" s="119" customFormat="1" ht="18.75" customHeight="1" x14ac:dyDescent="0.15">
      <c r="A227" s="107"/>
      <c r="B227" s="108"/>
      <c r="C227" s="109"/>
      <c r="D227" s="110"/>
      <c r="E227" s="111"/>
      <c r="F227" s="112"/>
      <c r="G227" s="111"/>
      <c r="H227" s="240" t="s">
        <v>385</v>
      </c>
      <c r="I227" s="148" t="s">
        <v>348</v>
      </c>
      <c r="J227" s="149" t="s">
        <v>216</v>
      </c>
      <c r="K227" s="149"/>
      <c r="L227" s="152" t="s">
        <v>348</v>
      </c>
      <c r="M227" s="149" t="s">
        <v>217</v>
      </c>
      <c r="N227" s="149"/>
      <c r="O227" s="152" t="s">
        <v>348</v>
      </c>
      <c r="P227" s="149" t="s">
        <v>218</v>
      </c>
      <c r="Q227" s="154"/>
      <c r="R227" s="154"/>
      <c r="S227" s="154"/>
      <c r="T227" s="154"/>
      <c r="U227" s="241"/>
      <c r="V227" s="241"/>
      <c r="W227" s="241"/>
      <c r="X227" s="242"/>
      <c r="Y227" s="147"/>
      <c r="Z227" s="105"/>
      <c r="AA227" s="105"/>
      <c r="AB227" s="106"/>
      <c r="AC227" s="365"/>
      <c r="AD227" s="365"/>
      <c r="AE227" s="365"/>
      <c r="AF227" s="365"/>
      <c r="AI227" s="119" t="str">
        <f>"22:field225:" &amp; IF(I227="■",1,IF(L227="■",2,IF(O227="■",3,0)))</f>
        <v>22:field225:0</v>
      </c>
    </row>
    <row r="228" spans="1:36" s="119" customFormat="1" ht="18.75" customHeight="1" x14ac:dyDescent="0.15">
      <c r="A228" s="107"/>
      <c r="B228" s="108"/>
      <c r="C228" s="109"/>
      <c r="D228" s="110"/>
      <c r="E228" s="111"/>
      <c r="F228" s="112"/>
      <c r="G228" s="111"/>
      <c r="H228" s="227" t="s">
        <v>111</v>
      </c>
      <c r="I228" s="148" t="s">
        <v>348</v>
      </c>
      <c r="J228" s="149" t="s">
        <v>216</v>
      </c>
      <c r="K228" s="149"/>
      <c r="L228" s="152" t="s">
        <v>348</v>
      </c>
      <c r="M228" s="149" t="s">
        <v>224</v>
      </c>
      <c r="N228" s="149"/>
      <c r="O228" s="152" t="s">
        <v>348</v>
      </c>
      <c r="P228" s="149" t="s">
        <v>225</v>
      </c>
      <c r="Q228" s="196"/>
      <c r="R228" s="152" t="s">
        <v>348</v>
      </c>
      <c r="S228" s="149" t="s">
        <v>248</v>
      </c>
      <c r="T228" s="196"/>
      <c r="U228" s="196"/>
      <c r="V228" s="196"/>
      <c r="W228" s="196"/>
      <c r="X228" s="197"/>
      <c r="Y228" s="147"/>
      <c r="Z228" s="105"/>
      <c r="AA228" s="105"/>
      <c r="AB228" s="106"/>
      <c r="AC228" s="365"/>
      <c r="AD228" s="365"/>
      <c r="AE228" s="365"/>
      <c r="AF228" s="365"/>
      <c r="AI228" s="119" t="str">
        <f>"22:serteikyo_kyoka_code:" &amp; IF(I228="■",1,IF(L228="■",6,IF(O228="■",5,IF(R228="■",7,0))))</f>
        <v>22:serteikyo_kyoka_code:0</v>
      </c>
    </row>
    <row r="229" spans="1:36" s="119" customFormat="1" ht="18.75" customHeight="1" x14ac:dyDescent="0.15">
      <c r="A229" s="107"/>
      <c r="B229" s="108"/>
      <c r="C229" s="109"/>
      <c r="D229" s="110"/>
      <c r="E229" s="111"/>
      <c r="F229" s="112"/>
      <c r="G229" s="111"/>
      <c r="H229" s="329" t="s">
        <v>409</v>
      </c>
      <c r="I229" s="358" t="s">
        <v>348</v>
      </c>
      <c r="J229" s="359" t="s">
        <v>216</v>
      </c>
      <c r="K229" s="359"/>
      <c r="L229" s="360" t="s">
        <v>348</v>
      </c>
      <c r="M229" s="359" t="s">
        <v>232</v>
      </c>
      <c r="N229" s="359"/>
      <c r="O229" s="160"/>
      <c r="P229" s="160"/>
      <c r="Q229" s="160"/>
      <c r="R229" s="160"/>
      <c r="S229" s="160"/>
      <c r="T229" s="160"/>
      <c r="U229" s="160"/>
      <c r="V229" s="160"/>
      <c r="W229" s="160"/>
      <c r="X229" s="163"/>
      <c r="Y229" s="147"/>
      <c r="Z229" s="105"/>
      <c r="AA229" s="105"/>
      <c r="AB229" s="106"/>
      <c r="AC229" s="365"/>
      <c r="AD229" s="365"/>
      <c r="AE229" s="365"/>
      <c r="AF229" s="365"/>
      <c r="AI229" s="119" t="str">
        <f>"22:field221:" &amp; IF(I229="■",1,IF(L229="■",2,0))</f>
        <v>22:field221:0</v>
      </c>
    </row>
    <row r="230" spans="1:36" s="119" customFormat="1" ht="18.75" customHeight="1" x14ac:dyDescent="0.15">
      <c r="A230" s="107"/>
      <c r="B230" s="108"/>
      <c r="C230" s="109"/>
      <c r="D230" s="110"/>
      <c r="E230" s="111"/>
      <c r="F230" s="112"/>
      <c r="G230" s="111"/>
      <c r="H230" s="328"/>
      <c r="I230" s="358"/>
      <c r="J230" s="359"/>
      <c r="K230" s="359"/>
      <c r="L230" s="360"/>
      <c r="M230" s="359"/>
      <c r="N230" s="359"/>
      <c r="O230" s="115"/>
      <c r="P230" s="115"/>
      <c r="Q230" s="115"/>
      <c r="R230" s="115"/>
      <c r="S230" s="115"/>
      <c r="T230" s="115"/>
      <c r="U230" s="115"/>
      <c r="V230" s="115"/>
      <c r="W230" s="115"/>
      <c r="X230" s="161"/>
      <c r="Y230" s="147"/>
      <c r="Z230" s="105"/>
      <c r="AA230" s="105"/>
      <c r="AB230" s="106"/>
      <c r="AC230" s="365"/>
      <c r="AD230" s="365"/>
      <c r="AE230" s="365"/>
      <c r="AF230" s="365"/>
    </row>
    <row r="231" spans="1:36" s="119" customFormat="1" ht="18.75" customHeight="1" x14ac:dyDescent="0.15">
      <c r="A231" s="170"/>
      <c r="B231" s="171"/>
      <c r="C231" s="172"/>
      <c r="D231" s="173"/>
      <c r="E231" s="174"/>
      <c r="F231" s="175"/>
      <c r="G231" s="176"/>
      <c r="H231" s="95" t="s">
        <v>405</v>
      </c>
      <c r="I231" s="177" t="s">
        <v>348</v>
      </c>
      <c r="J231" s="96" t="s">
        <v>216</v>
      </c>
      <c r="K231" s="96"/>
      <c r="L231" s="178" t="s">
        <v>348</v>
      </c>
      <c r="M231" s="96" t="s">
        <v>373</v>
      </c>
      <c r="N231" s="97"/>
      <c r="O231" s="178" t="s">
        <v>348</v>
      </c>
      <c r="P231" s="99" t="s">
        <v>374</v>
      </c>
      <c r="Q231" s="98"/>
      <c r="R231" s="178" t="s">
        <v>348</v>
      </c>
      <c r="S231" s="96" t="s">
        <v>375</v>
      </c>
      <c r="T231" s="98"/>
      <c r="U231" s="178" t="s">
        <v>348</v>
      </c>
      <c r="V231" s="96" t="s">
        <v>376</v>
      </c>
      <c r="W231" s="100"/>
      <c r="X231" s="101"/>
      <c r="Y231" s="179"/>
      <c r="Z231" s="179"/>
      <c r="AA231" s="179"/>
      <c r="AB231" s="180"/>
      <c r="AC231" s="366"/>
      <c r="AD231" s="366"/>
      <c r="AE231" s="366"/>
      <c r="AF231" s="366"/>
      <c r="AI231" s="119" t="str">
        <f>"22:shoguukaizen_code:"&amp;IF(I231="■",1,IF(L231="■",7,IF(O231="■",8,IF(R231="■",9,IF(U231="■","A",0)))))</f>
        <v>22:shoguukaizen_code:0</v>
      </c>
    </row>
    <row r="232" spans="1:36" s="119" customFormat="1" ht="18.75" customHeight="1" x14ac:dyDescent="0.15">
      <c r="A232" s="130"/>
      <c r="B232" s="131"/>
      <c r="C232" s="132"/>
      <c r="D232" s="133"/>
      <c r="E232" s="126"/>
      <c r="F232" s="134"/>
      <c r="G232" s="126"/>
      <c r="H232" s="214" t="s">
        <v>96</v>
      </c>
      <c r="I232" s="183" t="s">
        <v>348</v>
      </c>
      <c r="J232" s="184" t="s">
        <v>265</v>
      </c>
      <c r="K232" s="185"/>
      <c r="L232" s="186"/>
      <c r="M232" s="187" t="s">
        <v>348</v>
      </c>
      <c r="N232" s="184" t="s">
        <v>266</v>
      </c>
      <c r="O232" s="188"/>
      <c r="P232" s="188"/>
      <c r="Q232" s="188"/>
      <c r="R232" s="188"/>
      <c r="S232" s="188"/>
      <c r="T232" s="188"/>
      <c r="U232" s="188"/>
      <c r="V232" s="188"/>
      <c r="W232" s="188"/>
      <c r="X232" s="189"/>
      <c r="Y232" s="136" t="s">
        <v>348</v>
      </c>
      <c r="Z232" s="124" t="s">
        <v>215</v>
      </c>
      <c r="AA232" s="124"/>
      <c r="AB232" s="139"/>
      <c r="AC232" s="363"/>
      <c r="AD232" s="363"/>
      <c r="AE232" s="363"/>
      <c r="AF232" s="363"/>
      <c r="AG232" s="119" t="str">
        <f>"ser_code = '" &amp; IF(A242="■",22,"") &amp; "'"</f>
        <v>ser_code = ''</v>
      </c>
      <c r="AI232" s="119" t="str">
        <f>"22:yakan_kinmu_code:" &amp; IF(I232="■",1,IF(M232="■",6,0))</f>
        <v>22:yakan_kinmu_code:0</v>
      </c>
      <c r="AJ232" s="119" t="str">
        <f>"22:field203:" &amp; IF(Y232="■",1,IF(Y233="■",2,0))</f>
        <v>22:field203:0</v>
      </c>
    </row>
    <row r="233" spans="1:36" s="119" customFormat="1" ht="18.75" customHeight="1" x14ac:dyDescent="0.15">
      <c r="A233" s="107"/>
      <c r="B233" s="108"/>
      <c r="C233" s="109"/>
      <c r="D233" s="110"/>
      <c r="E233" s="111"/>
      <c r="F233" s="112"/>
      <c r="G233" s="111"/>
      <c r="H233" s="370" t="s">
        <v>162</v>
      </c>
      <c r="I233" s="194" t="s">
        <v>348</v>
      </c>
      <c r="J233" s="160" t="s">
        <v>216</v>
      </c>
      <c r="K233" s="160"/>
      <c r="L233" s="205"/>
      <c r="M233" s="195" t="s">
        <v>348</v>
      </c>
      <c r="N233" s="160" t="s">
        <v>254</v>
      </c>
      <c r="O233" s="160"/>
      <c r="P233" s="205"/>
      <c r="Q233" s="195" t="s">
        <v>348</v>
      </c>
      <c r="R233" s="198" t="s">
        <v>255</v>
      </c>
      <c r="S233" s="198"/>
      <c r="T233" s="198"/>
      <c r="U233" s="195" t="s">
        <v>348</v>
      </c>
      <c r="V233" s="198" t="s">
        <v>256</v>
      </c>
      <c r="W233" s="198"/>
      <c r="X233" s="199"/>
      <c r="Y233" s="123" t="s">
        <v>348</v>
      </c>
      <c r="Z233" s="104" t="s">
        <v>221</v>
      </c>
      <c r="AA233" s="105"/>
      <c r="AB233" s="106"/>
      <c r="AC233" s="365"/>
      <c r="AD233" s="365"/>
      <c r="AE233" s="365"/>
      <c r="AF233" s="365"/>
      <c r="AG233" s="119" t="str">
        <f>"22:sisetukbn_code:" &amp; IF(D242="■",6,IF(D243="■",8,0))</f>
        <v>22:sisetukbn_code:0</v>
      </c>
      <c r="AI233" s="119" t="str">
        <f>"22:"&amp;IF(AND(I233="□",M233="□",Q233="□",U233="□",I234="□",M234="□",Q234="□"),"ketu_doctor_code:0",IF(I233="■","ketu_doctor_code:1:ketu_kangos_code:1:ketu_kshoku_code:1:ketu_rryoho_code:1:ketu_sryoho_code:1:ketu_gengo_code:1",
IF(M233="■","ketu_doctor_code:2","ketu_doctor_code:1")
&amp;IF(Q233="■",":ketu_kangos_code:2",":ketu_kangos_code:1")
&amp;IF(U233="■",":ketu_kshoku_code:2",":ketu_kshoku_code:1")
&amp;IF(I234="■",":ketu_rryoho_code:2",":ketu_rryoho_code:1")
&amp;IF(M234="■",":ketu_sryoho_code:2",":ketu_sryoho_code:1")
&amp;IF(Q234="■",":ketu_gengo_code:2",":ketu_gengo_code:1")))</f>
        <v>22:ketu_doctor_code:0</v>
      </c>
    </row>
    <row r="234" spans="1:36" s="119" customFormat="1" ht="18.75" customHeight="1" x14ac:dyDescent="0.15">
      <c r="A234" s="107"/>
      <c r="B234" s="108"/>
      <c r="C234" s="109"/>
      <c r="D234" s="110"/>
      <c r="E234" s="111"/>
      <c r="F234" s="112"/>
      <c r="G234" s="111"/>
      <c r="H234" s="371"/>
      <c r="I234" s="143" t="s">
        <v>348</v>
      </c>
      <c r="J234" s="115" t="s">
        <v>257</v>
      </c>
      <c r="K234" s="115"/>
      <c r="L234" s="116"/>
      <c r="M234" s="191" t="s">
        <v>348</v>
      </c>
      <c r="N234" s="115" t="s">
        <v>258</v>
      </c>
      <c r="O234" s="115"/>
      <c r="P234" s="116"/>
      <c r="Q234" s="191" t="s">
        <v>348</v>
      </c>
      <c r="R234" s="144" t="s">
        <v>259</v>
      </c>
      <c r="S234" s="144"/>
      <c r="T234" s="144"/>
      <c r="U234" s="144"/>
      <c r="V234" s="144"/>
      <c r="W234" s="144"/>
      <c r="X234" s="226"/>
      <c r="Y234" s="147"/>
      <c r="Z234" s="105"/>
      <c r="AA234" s="105"/>
      <c r="AB234" s="106"/>
      <c r="AC234" s="365"/>
      <c r="AD234" s="365"/>
      <c r="AE234" s="365"/>
      <c r="AF234" s="365"/>
    </row>
    <row r="235" spans="1:36" s="119" customFormat="1" ht="18.75" customHeight="1" x14ac:dyDescent="0.15">
      <c r="A235" s="107"/>
      <c r="B235" s="108"/>
      <c r="C235" s="109"/>
      <c r="D235" s="110"/>
      <c r="E235" s="111"/>
      <c r="F235" s="112"/>
      <c r="G235" s="111"/>
      <c r="H235" s="230" t="s">
        <v>97</v>
      </c>
      <c r="I235" s="148" t="s">
        <v>348</v>
      </c>
      <c r="J235" s="149" t="s">
        <v>230</v>
      </c>
      <c r="K235" s="150"/>
      <c r="L235" s="151"/>
      <c r="M235" s="152" t="s">
        <v>348</v>
      </c>
      <c r="N235" s="149" t="s">
        <v>231</v>
      </c>
      <c r="O235" s="154"/>
      <c r="P235" s="154"/>
      <c r="Q235" s="154"/>
      <c r="R235" s="154"/>
      <c r="S235" s="154"/>
      <c r="T235" s="154"/>
      <c r="U235" s="154"/>
      <c r="V235" s="154"/>
      <c r="W235" s="154"/>
      <c r="X235" s="155"/>
      <c r="Y235" s="147"/>
      <c r="Z235" s="105"/>
      <c r="AA235" s="105"/>
      <c r="AB235" s="106"/>
      <c r="AC235" s="365"/>
      <c r="AD235" s="365"/>
      <c r="AE235" s="365"/>
      <c r="AF235" s="365"/>
      <c r="AI235" s="119" t="str">
        <f>"22:unitcare_code:" &amp; IF(I235="■",1,IF(M235="■",2,0))</f>
        <v>22:unitcare_code:0</v>
      </c>
    </row>
    <row r="236" spans="1:36" s="119" customFormat="1" ht="18.75" customHeight="1" x14ac:dyDescent="0.15">
      <c r="A236" s="107"/>
      <c r="B236" s="108"/>
      <c r="C236" s="238"/>
      <c r="D236" s="239"/>
      <c r="E236" s="111"/>
      <c r="F236" s="112"/>
      <c r="G236" s="113"/>
      <c r="H236" s="230" t="s">
        <v>103</v>
      </c>
      <c r="I236" s="148" t="s">
        <v>348</v>
      </c>
      <c r="J236" s="149" t="s">
        <v>360</v>
      </c>
      <c r="K236" s="150"/>
      <c r="L236" s="151"/>
      <c r="M236" s="152" t="s">
        <v>348</v>
      </c>
      <c r="N236" s="149" t="s">
        <v>361</v>
      </c>
      <c r="O236" s="150"/>
      <c r="P236" s="150"/>
      <c r="Q236" s="150"/>
      <c r="R236" s="150"/>
      <c r="S236" s="150"/>
      <c r="T236" s="150"/>
      <c r="U236" s="150"/>
      <c r="V236" s="150"/>
      <c r="W236" s="150"/>
      <c r="X236" s="159"/>
      <c r="Y236" s="147"/>
      <c r="Z236" s="105"/>
      <c r="AA236" s="105"/>
      <c r="AB236" s="106"/>
      <c r="AC236" s="365"/>
      <c r="AD236" s="365"/>
      <c r="AE236" s="365"/>
      <c r="AF236" s="365"/>
      <c r="AI236" s="119" t="str">
        <f>"22:sintaikousoku_code:" &amp; IF(I236="■",1,IF(M236="■",2,0))</f>
        <v>22:sintaikousoku_code:0</v>
      </c>
    </row>
    <row r="237" spans="1:36" s="119" customFormat="1" ht="19.5" customHeight="1" x14ac:dyDescent="0.15">
      <c r="A237" s="107"/>
      <c r="B237" s="108"/>
      <c r="C237" s="109"/>
      <c r="D237" s="110"/>
      <c r="E237" s="111"/>
      <c r="F237" s="112"/>
      <c r="G237" s="113"/>
      <c r="H237" s="114" t="s">
        <v>369</v>
      </c>
      <c r="I237" s="148" t="s">
        <v>348</v>
      </c>
      <c r="J237" s="149" t="s">
        <v>360</v>
      </c>
      <c r="K237" s="150"/>
      <c r="L237" s="151"/>
      <c r="M237" s="152" t="s">
        <v>348</v>
      </c>
      <c r="N237" s="149" t="s">
        <v>370</v>
      </c>
      <c r="O237" s="153"/>
      <c r="P237" s="149"/>
      <c r="Q237" s="154"/>
      <c r="R237" s="154"/>
      <c r="S237" s="154"/>
      <c r="T237" s="154"/>
      <c r="U237" s="154"/>
      <c r="V237" s="154"/>
      <c r="W237" s="154"/>
      <c r="X237" s="155"/>
      <c r="Y237" s="105"/>
      <c r="Z237" s="105"/>
      <c r="AA237" s="105"/>
      <c r="AB237" s="106"/>
      <c r="AC237" s="365"/>
      <c r="AD237" s="365"/>
      <c r="AE237" s="365"/>
      <c r="AF237" s="365"/>
      <c r="AI237" s="119" t="str">
        <f>"22:field223:" &amp; IF(I237="■",1,IF(M237="■",2,0))</f>
        <v>22:field223:0</v>
      </c>
    </row>
    <row r="238" spans="1:36" s="119" customFormat="1" ht="19.5" customHeight="1" x14ac:dyDescent="0.15">
      <c r="A238" s="107"/>
      <c r="B238" s="108"/>
      <c r="C238" s="109"/>
      <c r="D238" s="110"/>
      <c r="E238" s="111"/>
      <c r="F238" s="112"/>
      <c r="G238" s="113"/>
      <c r="H238" s="114" t="s">
        <v>390</v>
      </c>
      <c r="I238" s="148" t="s">
        <v>348</v>
      </c>
      <c r="J238" s="149" t="s">
        <v>360</v>
      </c>
      <c r="K238" s="150"/>
      <c r="L238" s="151"/>
      <c r="M238" s="152" t="s">
        <v>348</v>
      </c>
      <c r="N238" s="149" t="s">
        <v>370</v>
      </c>
      <c r="O238" s="153"/>
      <c r="P238" s="149"/>
      <c r="Q238" s="154"/>
      <c r="R238" s="154"/>
      <c r="S238" s="154"/>
      <c r="T238" s="154"/>
      <c r="U238" s="154"/>
      <c r="V238" s="154"/>
      <c r="W238" s="154"/>
      <c r="X238" s="155"/>
      <c r="Y238" s="105"/>
      <c r="Z238" s="105"/>
      <c r="AA238" s="105"/>
      <c r="AB238" s="106"/>
      <c r="AC238" s="365"/>
      <c r="AD238" s="365"/>
      <c r="AE238" s="365"/>
      <c r="AF238" s="365"/>
      <c r="AI238" s="119" t="str">
        <f>"22:field232:" &amp; IF(I238="■",1,IF(M238="■",2,0))</f>
        <v>22:field232:0</v>
      </c>
    </row>
    <row r="239" spans="1:36" s="119" customFormat="1" ht="18.75" customHeight="1" x14ac:dyDescent="0.15">
      <c r="A239" s="107"/>
      <c r="B239" s="108"/>
      <c r="C239" s="109"/>
      <c r="D239" s="110"/>
      <c r="E239" s="111"/>
      <c r="F239" s="112"/>
      <c r="G239" s="111"/>
      <c r="H239" s="230" t="s">
        <v>105</v>
      </c>
      <c r="I239" s="148" t="s">
        <v>348</v>
      </c>
      <c r="J239" s="149" t="s">
        <v>216</v>
      </c>
      <c r="K239" s="150"/>
      <c r="L239" s="152" t="s">
        <v>348</v>
      </c>
      <c r="M239" s="149" t="s">
        <v>232</v>
      </c>
      <c r="N239" s="154"/>
      <c r="O239" s="154"/>
      <c r="P239" s="154"/>
      <c r="Q239" s="154"/>
      <c r="R239" s="154"/>
      <c r="S239" s="154"/>
      <c r="T239" s="154"/>
      <c r="U239" s="154"/>
      <c r="V239" s="154"/>
      <c r="W239" s="154"/>
      <c r="X239" s="155"/>
      <c r="Y239" s="147"/>
      <c r="Z239" s="105"/>
      <c r="AA239" s="105"/>
      <c r="AB239" s="106"/>
      <c r="AC239" s="365"/>
      <c r="AD239" s="365"/>
      <c r="AE239" s="365"/>
      <c r="AF239" s="365"/>
      <c r="AI239" s="119" t="str">
        <f>"22:yakinhaiti_code:" &amp; IF(I239="■",1,IF(L239="■",2,0))</f>
        <v>22:yakinhaiti_code:0</v>
      </c>
    </row>
    <row r="240" spans="1:36" s="119" customFormat="1" ht="18.75" customHeight="1" x14ac:dyDescent="0.15">
      <c r="A240" s="107"/>
      <c r="B240" s="108"/>
      <c r="C240" s="109"/>
      <c r="D240" s="110"/>
      <c r="E240" s="111"/>
      <c r="F240" s="112"/>
      <c r="G240" s="111"/>
      <c r="H240" s="230" t="s">
        <v>107</v>
      </c>
      <c r="I240" s="148" t="s">
        <v>348</v>
      </c>
      <c r="J240" s="149" t="s">
        <v>282</v>
      </c>
      <c r="K240" s="149"/>
      <c r="L240" s="151"/>
      <c r="M240" s="151"/>
      <c r="N240" s="152" t="s">
        <v>348</v>
      </c>
      <c r="O240" s="149" t="s">
        <v>283</v>
      </c>
      <c r="P240" s="154"/>
      <c r="Q240" s="154"/>
      <c r="R240" s="154"/>
      <c r="S240" s="152" t="s">
        <v>348</v>
      </c>
      <c r="T240" s="149" t="s">
        <v>284</v>
      </c>
      <c r="U240" s="154"/>
      <c r="V240" s="154"/>
      <c r="W240" s="154"/>
      <c r="X240" s="155"/>
      <c r="Y240" s="147"/>
      <c r="Z240" s="105"/>
      <c r="AA240" s="105"/>
      <c r="AB240" s="106"/>
      <c r="AC240" s="365"/>
      <c r="AD240" s="365"/>
      <c r="AE240" s="365"/>
      <c r="AF240" s="365"/>
      <c r="AI240" s="119" t="str">
        <f>"22:"&amp;IF(AND(I240="□",N240="□",S240="□"),"koriha_gengo_code:0:riha_seisin_code:0:koriha_other_code:0",IF(I240="■","koriha_gengo_code:2","koriha_gengo_code:1")
&amp;IF(N240="■",":riha_seisin_code:2",":riha_seisin_code:1")
&amp;IF(S240="■",":koriha_other_code:2",":koriha_other_code:1"))</f>
        <v>22:koriha_gengo_code:0:riha_seisin_code:0:koriha_other_code:0</v>
      </c>
    </row>
    <row r="241" spans="1:36" s="119" customFormat="1" ht="18.75" customHeight="1" x14ac:dyDescent="0.15">
      <c r="A241" s="107"/>
      <c r="B241" s="108"/>
      <c r="C241" s="109"/>
      <c r="D241" s="110"/>
      <c r="E241" s="111"/>
      <c r="F241" s="112"/>
      <c r="G241" s="111"/>
      <c r="H241" s="230" t="s">
        <v>99</v>
      </c>
      <c r="I241" s="148" t="s">
        <v>348</v>
      </c>
      <c r="J241" s="149" t="s">
        <v>216</v>
      </c>
      <c r="K241" s="150"/>
      <c r="L241" s="152" t="s">
        <v>348</v>
      </c>
      <c r="M241" s="149" t="s">
        <v>232</v>
      </c>
      <c r="N241" s="154"/>
      <c r="O241" s="154"/>
      <c r="P241" s="154"/>
      <c r="Q241" s="154"/>
      <c r="R241" s="154"/>
      <c r="S241" s="154"/>
      <c r="T241" s="154"/>
      <c r="U241" s="154"/>
      <c r="V241" s="154"/>
      <c r="W241" s="154"/>
      <c r="X241" s="155"/>
      <c r="Y241" s="147"/>
      <c r="Z241" s="105"/>
      <c r="AA241" s="105"/>
      <c r="AB241" s="106"/>
      <c r="AC241" s="365"/>
      <c r="AD241" s="365"/>
      <c r="AE241" s="365"/>
      <c r="AF241" s="365"/>
      <c r="AI241" s="119" t="str">
        <f>"22:ninticare_code:" &amp; IF(I241="■",1,IF(L241="■",2,0))</f>
        <v>22:ninticare_code:0</v>
      </c>
    </row>
    <row r="242" spans="1:36" s="119" customFormat="1" ht="18.75" customHeight="1" x14ac:dyDescent="0.15">
      <c r="A242" s="128" t="s">
        <v>348</v>
      </c>
      <c r="B242" s="108">
        <v>22</v>
      </c>
      <c r="C242" s="109" t="s">
        <v>172</v>
      </c>
      <c r="D242" s="123" t="s">
        <v>348</v>
      </c>
      <c r="E242" s="111" t="s">
        <v>288</v>
      </c>
      <c r="F242" s="112"/>
      <c r="G242" s="111"/>
      <c r="H242" s="230" t="s">
        <v>104</v>
      </c>
      <c r="I242" s="148" t="s">
        <v>348</v>
      </c>
      <c r="J242" s="149" t="s">
        <v>216</v>
      </c>
      <c r="K242" s="150"/>
      <c r="L242" s="152" t="s">
        <v>348</v>
      </c>
      <c r="M242" s="149" t="s">
        <v>232</v>
      </c>
      <c r="N242" s="154"/>
      <c r="O242" s="154"/>
      <c r="P242" s="154"/>
      <c r="Q242" s="154"/>
      <c r="R242" s="154"/>
      <c r="S242" s="154"/>
      <c r="T242" s="154"/>
      <c r="U242" s="154"/>
      <c r="V242" s="154"/>
      <c r="W242" s="154"/>
      <c r="X242" s="155"/>
      <c r="Y242" s="147"/>
      <c r="Z242" s="105"/>
      <c r="AA242" s="105"/>
      <c r="AB242" s="106"/>
      <c r="AC242" s="365"/>
      <c r="AD242" s="365"/>
      <c r="AE242" s="365"/>
      <c r="AF242" s="365"/>
      <c r="AI242" s="119" t="str">
        <f>"22:jyakuninti_uke_code:" &amp; IF(I242="■",1,IF(L242="■",2,0))</f>
        <v>22:jyakuninti_uke_code:0</v>
      </c>
    </row>
    <row r="243" spans="1:36" s="119" customFormat="1" ht="18.75" customHeight="1" x14ac:dyDescent="0.15">
      <c r="A243" s="107"/>
      <c r="B243" s="108"/>
      <c r="C243" s="109"/>
      <c r="D243" s="123" t="s">
        <v>348</v>
      </c>
      <c r="E243" s="111" t="s">
        <v>290</v>
      </c>
      <c r="F243" s="112"/>
      <c r="G243" s="111"/>
      <c r="H243" s="230" t="s">
        <v>94</v>
      </c>
      <c r="I243" s="148" t="s">
        <v>348</v>
      </c>
      <c r="J243" s="149" t="s">
        <v>230</v>
      </c>
      <c r="K243" s="150"/>
      <c r="L243" s="151"/>
      <c r="M243" s="152" t="s">
        <v>348</v>
      </c>
      <c r="N243" s="149" t="s">
        <v>231</v>
      </c>
      <c r="O243" s="154"/>
      <c r="P243" s="154"/>
      <c r="Q243" s="154"/>
      <c r="R243" s="154"/>
      <c r="S243" s="154"/>
      <c r="T243" s="154"/>
      <c r="U243" s="154"/>
      <c r="V243" s="154"/>
      <c r="W243" s="154"/>
      <c r="X243" s="155"/>
      <c r="Y243" s="147"/>
      <c r="Z243" s="105"/>
      <c r="AA243" s="105"/>
      <c r="AB243" s="106"/>
      <c r="AC243" s="365"/>
      <c r="AD243" s="365"/>
      <c r="AE243" s="365"/>
      <c r="AF243" s="365"/>
      <c r="AI243" s="119" t="str">
        <f>"22:sougei_code:" &amp; IF(I243="■",1,IF(M243="■",2,0))</f>
        <v>22:sougei_code:0</v>
      </c>
    </row>
    <row r="244" spans="1:36" s="119" customFormat="1" ht="18.75" customHeight="1" x14ac:dyDescent="0.15">
      <c r="A244" s="107"/>
      <c r="B244" s="108"/>
      <c r="C244" s="109"/>
      <c r="D244" s="110"/>
      <c r="E244" s="111"/>
      <c r="F244" s="112"/>
      <c r="G244" s="111"/>
      <c r="H244" s="230" t="s">
        <v>108</v>
      </c>
      <c r="I244" s="148" t="s">
        <v>348</v>
      </c>
      <c r="J244" s="149" t="s">
        <v>285</v>
      </c>
      <c r="K244" s="154"/>
      <c r="L244" s="154"/>
      <c r="M244" s="154"/>
      <c r="N244" s="154"/>
      <c r="O244" s="154"/>
      <c r="P244" s="152" t="s">
        <v>348</v>
      </c>
      <c r="Q244" s="149" t="s">
        <v>286</v>
      </c>
      <c r="R244" s="154"/>
      <c r="S244" s="196"/>
      <c r="T244" s="154"/>
      <c r="U244" s="154"/>
      <c r="V244" s="154"/>
      <c r="W244" s="154"/>
      <c r="X244" s="155"/>
      <c r="Y244" s="147"/>
      <c r="Z244" s="105"/>
      <c r="AA244" s="105"/>
      <c r="AB244" s="106"/>
      <c r="AC244" s="365"/>
      <c r="AD244" s="365"/>
      <c r="AE244" s="365"/>
      <c r="AF244" s="365"/>
      <c r="AI244" s="119" t="str">
        <f>"22:" &amp; IF(AND(I244="□",P244="□"),"tokusin_jyusho_code:0:tokusin_yakuzai_code:0",IF(I244="■","tokusin_jyusho_code:2","tokusin_jyusho_code:1")
&amp;IF(P244="■",":tokusin_yakuzai_code:2",":tokusin_yakuzai_code:1"))</f>
        <v>22:tokusin_jyusho_code:0:tokusin_yakuzai_code:0</v>
      </c>
    </row>
    <row r="245" spans="1:36" s="119" customFormat="1" ht="18.75" customHeight="1" x14ac:dyDescent="0.15">
      <c r="A245" s="107"/>
      <c r="B245" s="108"/>
      <c r="C245" s="109"/>
      <c r="D245" s="110"/>
      <c r="E245" s="111"/>
      <c r="F245" s="112"/>
      <c r="G245" s="111"/>
      <c r="H245" s="230" t="s">
        <v>157</v>
      </c>
      <c r="I245" s="148" t="s">
        <v>348</v>
      </c>
      <c r="J245" s="149" t="s">
        <v>216</v>
      </c>
      <c r="K245" s="150"/>
      <c r="L245" s="152" t="s">
        <v>348</v>
      </c>
      <c r="M245" s="149" t="s">
        <v>232</v>
      </c>
      <c r="N245" s="196"/>
      <c r="O245" s="196"/>
      <c r="P245" s="196"/>
      <c r="Q245" s="196"/>
      <c r="R245" s="196"/>
      <c r="S245" s="196"/>
      <c r="T245" s="196"/>
      <c r="U245" s="196"/>
      <c r="V245" s="196"/>
      <c r="W245" s="196"/>
      <c r="X245" s="197"/>
      <c r="Y245" s="147"/>
      <c r="Z245" s="105"/>
      <c r="AA245" s="105"/>
      <c r="AB245" s="106"/>
      <c r="AC245" s="365"/>
      <c r="AD245" s="365"/>
      <c r="AE245" s="365"/>
      <c r="AF245" s="365"/>
      <c r="AI245" s="119" t="str">
        <f>"22:field198:" &amp; IF(I245="■",1,IF(L245="■",2,0))</f>
        <v>22:field198:0</v>
      </c>
    </row>
    <row r="246" spans="1:36" s="119" customFormat="1" ht="18.75" customHeight="1" x14ac:dyDescent="0.15">
      <c r="A246" s="107"/>
      <c r="B246" s="108"/>
      <c r="C246" s="109"/>
      <c r="D246" s="110"/>
      <c r="E246" s="111"/>
      <c r="F246" s="112"/>
      <c r="G246" s="111"/>
      <c r="H246" s="230" t="s">
        <v>158</v>
      </c>
      <c r="I246" s="148" t="s">
        <v>348</v>
      </c>
      <c r="J246" s="149" t="s">
        <v>216</v>
      </c>
      <c r="K246" s="150"/>
      <c r="L246" s="152" t="s">
        <v>348</v>
      </c>
      <c r="M246" s="149" t="s">
        <v>232</v>
      </c>
      <c r="N246" s="196"/>
      <c r="O246" s="196"/>
      <c r="P246" s="196"/>
      <c r="Q246" s="196"/>
      <c r="R246" s="196"/>
      <c r="S246" s="196"/>
      <c r="T246" s="196"/>
      <c r="U246" s="196"/>
      <c r="V246" s="196"/>
      <c r="W246" s="196"/>
      <c r="X246" s="197"/>
      <c r="Y246" s="147"/>
      <c r="Z246" s="105"/>
      <c r="AA246" s="105"/>
      <c r="AB246" s="106"/>
      <c r="AC246" s="365"/>
      <c r="AD246" s="365"/>
      <c r="AE246" s="365"/>
      <c r="AF246" s="365"/>
      <c r="AI246" s="119" t="str">
        <f>"22:field199:" &amp; IF(I246="■",1,IF(L246="■",2,0))</f>
        <v>22:field199:0</v>
      </c>
    </row>
    <row r="247" spans="1:36" s="119" customFormat="1" ht="19.5" customHeight="1" x14ac:dyDescent="0.15">
      <c r="A247" s="107"/>
      <c r="B247" s="108"/>
      <c r="C247" s="109"/>
      <c r="D247" s="110"/>
      <c r="E247" s="111"/>
      <c r="F247" s="112"/>
      <c r="G247" s="113"/>
      <c r="H247" s="114" t="s">
        <v>372</v>
      </c>
      <c r="I247" s="148" t="s">
        <v>348</v>
      </c>
      <c r="J247" s="149" t="s">
        <v>216</v>
      </c>
      <c r="K247" s="149"/>
      <c r="L247" s="152" t="s">
        <v>348</v>
      </c>
      <c r="M247" s="149" t="s">
        <v>232</v>
      </c>
      <c r="N247" s="149"/>
      <c r="O247" s="154"/>
      <c r="P247" s="149"/>
      <c r="Q247" s="154"/>
      <c r="R247" s="154"/>
      <c r="S247" s="154"/>
      <c r="T247" s="154"/>
      <c r="U247" s="154"/>
      <c r="V247" s="154"/>
      <c r="W247" s="154"/>
      <c r="X247" s="155"/>
      <c r="Y247" s="105"/>
      <c r="Z247" s="105"/>
      <c r="AA247" s="105"/>
      <c r="AB247" s="106"/>
      <c r="AC247" s="365"/>
      <c r="AD247" s="365"/>
      <c r="AE247" s="365"/>
      <c r="AF247" s="365"/>
      <c r="AI247" s="119" t="str">
        <f>"22:field224:" &amp; IF(I247="■",1,IF(L247="■",2,0))</f>
        <v>22:field224:0</v>
      </c>
    </row>
    <row r="248" spans="1:36" s="119" customFormat="1" ht="18.75" customHeight="1" x14ac:dyDescent="0.15">
      <c r="A248" s="107"/>
      <c r="B248" s="108"/>
      <c r="C248" s="109"/>
      <c r="D248" s="110"/>
      <c r="E248" s="111"/>
      <c r="F248" s="112"/>
      <c r="G248" s="111"/>
      <c r="H248" s="230" t="s">
        <v>106</v>
      </c>
      <c r="I248" s="148" t="s">
        <v>348</v>
      </c>
      <c r="J248" s="149" t="s">
        <v>216</v>
      </c>
      <c r="K248" s="150"/>
      <c r="L248" s="152" t="s">
        <v>348</v>
      </c>
      <c r="M248" s="149" t="s">
        <v>232</v>
      </c>
      <c r="N248" s="154"/>
      <c r="O248" s="154"/>
      <c r="P248" s="154"/>
      <c r="Q248" s="154"/>
      <c r="R248" s="154"/>
      <c r="S248" s="154"/>
      <c r="T248" s="154"/>
      <c r="U248" s="154"/>
      <c r="V248" s="154"/>
      <c r="W248" s="154"/>
      <c r="X248" s="155"/>
      <c r="Y248" s="147"/>
      <c r="Z248" s="105"/>
      <c r="AA248" s="105"/>
      <c r="AB248" s="106"/>
      <c r="AC248" s="365"/>
      <c r="AD248" s="365"/>
      <c r="AE248" s="365"/>
      <c r="AF248" s="365"/>
      <c r="AI248" s="119" t="str">
        <f>"22:ryouyoushoku_code:" &amp; IF(I248="■",1,IF(L248="■",2,0))</f>
        <v>22:ryouyoushoku_code:0</v>
      </c>
    </row>
    <row r="249" spans="1:36" s="119" customFormat="1" ht="18.75" customHeight="1" x14ac:dyDescent="0.15">
      <c r="A249" s="107"/>
      <c r="B249" s="108"/>
      <c r="C249" s="109"/>
      <c r="D249" s="110"/>
      <c r="E249" s="111"/>
      <c r="F249" s="112"/>
      <c r="G249" s="111"/>
      <c r="H249" s="230" t="s">
        <v>165</v>
      </c>
      <c r="I249" s="148" t="s">
        <v>348</v>
      </c>
      <c r="J249" s="149" t="s">
        <v>216</v>
      </c>
      <c r="K249" s="149"/>
      <c r="L249" s="152" t="s">
        <v>348</v>
      </c>
      <c r="M249" s="149" t="s">
        <v>217</v>
      </c>
      <c r="N249" s="149"/>
      <c r="O249" s="152" t="s">
        <v>348</v>
      </c>
      <c r="P249" s="149" t="s">
        <v>218</v>
      </c>
      <c r="Q249" s="154"/>
      <c r="R249" s="154"/>
      <c r="S249" s="154"/>
      <c r="T249" s="154"/>
      <c r="U249" s="154"/>
      <c r="V249" s="154"/>
      <c r="W249" s="154"/>
      <c r="X249" s="155"/>
      <c r="Y249" s="147"/>
      <c r="Z249" s="105"/>
      <c r="AA249" s="105"/>
      <c r="AB249" s="106"/>
      <c r="AC249" s="365"/>
      <c r="AD249" s="365"/>
      <c r="AE249" s="365"/>
      <c r="AF249" s="365"/>
      <c r="AI249" s="119" t="str">
        <f>"22:ninti_senmoncare_code:" &amp; IF(I249="■",1,IF(O249="■",3,IF(L249="■",2,0)))</f>
        <v>22:ninti_senmoncare_code:0</v>
      </c>
    </row>
    <row r="250" spans="1:36" s="119" customFormat="1" ht="18.75" customHeight="1" x14ac:dyDescent="0.15">
      <c r="A250" s="107"/>
      <c r="B250" s="108"/>
      <c r="C250" s="109"/>
      <c r="D250" s="110"/>
      <c r="E250" s="111"/>
      <c r="F250" s="112"/>
      <c r="G250" s="111"/>
      <c r="H250" s="240" t="s">
        <v>385</v>
      </c>
      <c r="I250" s="148" t="s">
        <v>348</v>
      </c>
      <c r="J250" s="149" t="s">
        <v>216</v>
      </c>
      <c r="K250" s="149"/>
      <c r="L250" s="152" t="s">
        <v>348</v>
      </c>
      <c r="M250" s="149" t="s">
        <v>217</v>
      </c>
      <c r="N250" s="149"/>
      <c r="O250" s="152" t="s">
        <v>348</v>
      </c>
      <c r="P250" s="149" t="s">
        <v>218</v>
      </c>
      <c r="Q250" s="154"/>
      <c r="R250" s="154"/>
      <c r="S250" s="154"/>
      <c r="T250" s="154"/>
      <c r="U250" s="241"/>
      <c r="V250" s="241"/>
      <c r="W250" s="241"/>
      <c r="X250" s="242"/>
      <c r="Y250" s="147"/>
      <c r="Z250" s="105"/>
      <c r="AA250" s="105"/>
      <c r="AB250" s="106"/>
      <c r="AC250" s="365"/>
      <c r="AD250" s="365"/>
      <c r="AE250" s="365"/>
      <c r="AF250" s="365"/>
      <c r="AI250" s="119" t="str">
        <f>"22:field225:" &amp; IF(I250="■",1,IF(L250="■",2,IF(O250="■",3,0)))</f>
        <v>22:field225:0</v>
      </c>
    </row>
    <row r="251" spans="1:36" s="119" customFormat="1" ht="18.75" customHeight="1" x14ac:dyDescent="0.15">
      <c r="A251" s="107"/>
      <c r="B251" s="108"/>
      <c r="C251" s="109"/>
      <c r="D251" s="110"/>
      <c r="E251" s="111"/>
      <c r="F251" s="112"/>
      <c r="G251" s="111"/>
      <c r="H251" s="227" t="s">
        <v>111</v>
      </c>
      <c r="I251" s="148" t="s">
        <v>348</v>
      </c>
      <c r="J251" s="149" t="s">
        <v>216</v>
      </c>
      <c r="K251" s="149"/>
      <c r="L251" s="152" t="s">
        <v>348</v>
      </c>
      <c r="M251" s="149" t="s">
        <v>224</v>
      </c>
      <c r="N251" s="149"/>
      <c r="O251" s="152" t="s">
        <v>348</v>
      </c>
      <c r="P251" s="149" t="s">
        <v>225</v>
      </c>
      <c r="Q251" s="196"/>
      <c r="R251" s="152" t="s">
        <v>348</v>
      </c>
      <c r="S251" s="149" t="s">
        <v>248</v>
      </c>
      <c r="T251" s="196"/>
      <c r="U251" s="196"/>
      <c r="V251" s="196"/>
      <c r="W251" s="196"/>
      <c r="X251" s="197"/>
      <c r="Y251" s="147"/>
      <c r="Z251" s="105"/>
      <c r="AA251" s="105"/>
      <c r="AB251" s="106"/>
      <c r="AC251" s="365"/>
      <c r="AD251" s="365"/>
      <c r="AE251" s="365"/>
      <c r="AF251" s="365"/>
      <c r="AI251" s="119" t="str">
        <f>"22:serteikyo_kyoka_code:" &amp; IF(I251="■",1,IF(L251="■",6,IF(O251="■",5,IF(R251="■",7,0))))</f>
        <v>22:serteikyo_kyoka_code:0</v>
      </c>
    </row>
    <row r="252" spans="1:36" s="119" customFormat="1" ht="18.75" customHeight="1" x14ac:dyDescent="0.15">
      <c r="A252" s="107"/>
      <c r="B252" s="108"/>
      <c r="C252" s="109"/>
      <c r="D252" s="110"/>
      <c r="E252" s="111"/>
      <c r="F252" s="112"/>
      <c r="G252" s="111"/>
      <c r="H252" s="329" t="s">
        <v>409</v>
      </c>
      <c r="I252" s="358" t="s">
        <v>348</v>
      </c>
      <c r="J252" s="359" t="s">
        <v>216</v>
      </c>
      <c r="K252" s="359"/>
      <c r="L252" s="360" t="s">
        <v>348</v>
      </c>
      <c r="M252" s="359" t="s">
        <v>232</v>
      </c>
      <c r="N252" s="359"/>
      <c r="O252" s="160"/>
      <c r="P252" s="160"/>
      <c r="Q252" s="160"/>
      <c r="R252" s="160"/>
      <c r="S252" s="160"/>
      <c r="T252" s="160"/>
      <c r="U252" s="160"/>
      <c r="V252" s="160"/>
      <c r="W252" s="160"/>
      <c r="X252" s="163"/>
      <c r="Y252" s="147"/>
      <c r="Z252" s="105"/>
      <c r="AA252" s="105"/>
      <c r="AB252" s="106"/>
      <c r="AC252" s="365"/>
      <c r="AD252" s="365"/>
      <c r="AE252" s="365"/>
      <c r="AF252" s="365"/>
      <c r="AI252" s="119" t="str">
        <f>"22:field221:" &amp; IF(I252="■",1,IF(L252="■",2,0))</f>
        <v>22:field221:0</v>
      </c>
    </row>
    <row r="253" spans="1:36" s="119" customFormat="1" ht="18.75" customHeight="1" x14ac:dyDescent="0.15">
      <c r="A253" s="107"/>
      <c r="B253" s="108"/>
      <c r="C253" s="109"/>
      <c r="D253" s="110"/>
      <c r="E253" s="111"/>
      <c r="F253" s="112"/>
      <c r="G253" s="111"/>
      <c r="H253" s="328"/>
      <c r="I253" s="358"/>
      <c r="J253" s="359"/>
      <c r="K253" s="359"/>
      <c r="L253" s="360"/>
      <c r="M253" s="359"/>
      <c r="N253" s="359"/>
      <c r="O253" s="115"/>
      <c r="P253" s="115"/>
      <c r="Q253" s="115"/>
      <c r="R253" s="115"/>
      <c r="S253" s="115"/>
      <c r="T253" s="115"/>
      <c r="U253" s="115"/>
      <c r="V253" s="115"/>
      <c r="W253" s="115"/>
      <c r="X253" s="161"/>
      <c r="Y253" s="147"/>
      <c r="Z253" s="105"/>
      <c r="AA253" s="105"/>
      <c r="AB253" s="106"/>
      <c r="AC253" s="365"/>
      <c r="AD253" s="365"/>
      <c r="AE253" s="365"/>
      <c r="AF253" s="365"/>
    </row>
    <row r="254" spans="1:36" s="119" customFormat="1" ht="18.75" customHeight="1" x14ac:dyDescent="0.15">
      <c r="A254" s="170"/>
      <c r="B254" s="171"/>
      <c r="C254" s="172"/>
      <c r="D254" s="173"/>
      <c r="E254" s="174"/>
      <c r="F254" s="175"/>
      <c r="G254" s="176"/>
      <c r="H254" s="95" t="s">
        <v>405</v>
      </c>
      <c r="I254" s="177" t="s">
        <v>348</v>
      </c>
      <c r="J254" s="96" t="s">
        <v>216</v>
      </c>
      <c r="K254" s="96"/>
      <c r="L254" s="178" t="s">
        <v>348</v>
      </c>
      <c r="M254" s="96" t="s">
        <v>373</v>
      </c>
      <c r="N254" s="97"/>
      <c r="O254" s="178" t="s">
        <v>348</v>
      </c>
      <c r="P254" s="99" t="s">
        <v>374</v>
      </c>
      <c r="Q254" s="98"/>
      <c r="R254" s="178" t="s">
        <v>348</v>
      </c>
      <c r="S254" s="96" t="s">
        <v>375</v>
      </c>
      <c r="T254" s="98"/>
      <c r="U254" s="178" t="s">
        <v>348</v>
      </c>
      <c r="V254" s="96" t="s">
        <v>376</v>
      </c>
      <c r="W254" s="100"/>
      <c r="X254" s="101"/>
      <c r="Y254" s="179"/>
      <c r="Z254" s="179"/>
      <c r="AA254" s="179"/>
      <c r="AB254" s="180"/>
      <c r="AC254" s="366"/>
      <c r="AD254" s="366"/>
      <c r="AE254" s="366"/>
      <c r="AF254" s="366"/>
      <c r="AI254" s="119" t="str">
        <f>"22:shoguukaizen_code:"&amp;IF(I254="■",1,IF(L254="■",7,IF(O254="■",8,IF(R254="■",9,IF(U254="■","A",0)))))</f>
        <v>22:shoguukaizen_code:0</v>
      </c>
    </row>
    <row r="255" spans="1:36" s="119" customFormat="1" ht="18.75" customHeight="1" x14ac:dyDescent="0.15">
      <c r="A255" s="130"/>
      <c r="B255" s="131"/>
      <c r="C255" s="132"/>
      <c r="D255" s="133"/>
      <c r="E255" s="126"/>
      <c r="F255" s="133"/>
      <c r="G255" s="135"/>
      <c r="H255" s="214" t="s">
        <v>96</v>
      </c>
      <c r="I255" s="183" t="s">
        <v>348</v>
      </c>
      <c r="J255" s="184" t="s">
        <v>265</v>
      </c>
      <c r="K255" s="185"/>
      <c r="L255" s="186"/>
      <c r="M255" s="187" t="s">
        <v>348</v>
      </c>
      <c r="N255" s="184" t="s">
        <v>266</v>
      </c>
      <c r="O255" s="188"/>
      <c r="P255" s="188"/>
      <c r="Q255" s="188"/>
      <c r="R255" s="188"/>
      <c r="S255" s="188"/>
      <c r="T255" s="188"/>
      <c r="U255" s="188"/>
      <c r="V255" s="188"/>
      <c r="W255" s="188"/>
      <c r="X255" s="189"/>
      <c r="Y255" s="140" t="s">
        <v>348</v>
      </c>
      <c r="Z255" s="124" t="s">
        <v>215</v>
      </c>
      <c r="AA255" s="124"/>
      <c r="AB255" s="139"/>
      <c r="AC255" s="363"/>
      <c r="AD255" s="363"/>
      <c r="AE255" s="363"/>
      <c r="AF255" s="363"/>
      <c r="AG255" s="119" t="str">
        <f>"ser_code = '" &amp; IF(A264="■",22,"") &amp; "'"</f>
        <v>ser_code = ''</v>
      </c>
      <c r="AI255" s="119" t="str">
        <f>"22:yakan_kinmu_code:" &amp; IF(I255="■",1,IF(M255="■",6,0))</f>
        <v>22:yakan_kinmu_code:0</v>
      </c>
      <c r="AJ255" s="119" t="str">
        <f>"22:field203:" &amp; IF(Y255="■",1,IF(Y256="■",2,0))</f>
        <v>22:field203:0</v>
      </c>
    </row>
    <row r="256" spans="1:36" s="119" customFormat="1" ht="18.75" customHeight="1" x14ac:dyDescent="0.15">
      <c r="A256" s="107"/>
      <c r="B256" s="108"/>
      <c r="C256" s="109"/>
      <c r="D256" s="110"/>
      <c r="E256" s="111"/>
      <c r="F256" s="110"/>
      <c r="G256" s="113"/>
      <c r="H256" s="370" t="s">
        <v>162</v>
      </c>
      <c r="I256" s="194" t="s">
        <v>348</v>
      </c>
      <c r="J256" s="160" t="s">
        <v>216</v>
      </c>
      <c r="K256" s="160"/>
      <c r="L256" s="205"/>
      <c r="M256" s="195" t="s">
        <v>348</v>
      </c>
      <c r="N256" s="160" t="s">
        <v>254</v>
      </c>
      <c r="O256" s="160"/>
      <c r="P256" s="205"/>
      <c r="Q256" s="195" t="s">
        <v>348</v>
      </c>
      <c r="R256" s="198" t="s">
        <v>255</v>
      </c>
      <c r="S256" s="198"/>
      <c r="T256" s="198"/>
      <c r="U256" s="195" t="s">
        <v>348</v>
      </c>
      <c r="V256" s="198" t="s">
        <v>256</v>
      </c>
      <c r="W256" s="198"/>
      <c r="X256" s="199"/>
      <c r="Y256" s="123" t="s">
        <v>348</v>
      </c>
      <c r="Z256" s="104" t="s">
        <v>221</v>
      </c>
      <c r="AA256" s="105"/>
      <c r="AB256" s="106"/>
      <c r="AC256" s="365"/>
      <c r="AD256" s="365"/>
      <c r="AE256" s="365"/>
      <c r="AF256" s="365"/>
      <c r="AG256" s="119" t="str">
        <f>"22:sisetukbn_code:" &amp; IF(D264="■",9,0)</f>
        <v>22:sisetukbn_code:0</v>
      </c>
      <c r="AI256" s="119" t="str">
        <f>"22:"&amp;IF(AND(I256="□",M256="□",Q256="□",U256="□",I257="□",M257="□",Q257="□"),"ketu_doctor_code:0",IF(I256="■","ketu_doctor_code:1:ketu_kangos_code:1:ketu_kshoku_code:1:ketu_rryoho_code:1:ketu_sryoho_code:1:ketu_gengo_code:1",
IF(M256="■","ketu_doctor_code:2","ketu_doctor_code:1")
&amp;IF(Q256="■",":ketu_kangos_code:2",":ketu_kangos_code:1")
&amp;IF(U256="■",":ketu_kshoku_code:2",":ketu_kshoku_code:1")
&amp;IF(I257="■",":ketu_rryoho_code:2",":ketu_rryoho_code:1")
&amp;IF(M257="■",":ketu_sryoho_code:2",":ketu_sryoho_code:1")
&amp;IF(Q257="■",":ketu_gengo_code:2",":ketu_gengo_code:1")))</f>
        <v>22:ketu_doctor_code:0</v>
      </c>
    </row>
    <row r="257" spans="1:38" s="119" customFormat="1" ht="18.75" customHeight="1" x14ac:dyDescent="0.15">
      <c r="A257" s="107"/>
      <c r="B257" s="108"/>
      <c r="C257" s="109"/>
      <c r="D257" s="110"/>
      <c r="E257" s="111"/>
      <c r="F257" s="110"/>
      <c r="G257" s="113"/>
      <c r="H257" s="371"/>
      <c r="I257" s="143" t="s">
        <v>348</v>
      </c>
      <c r="J257" s="115" t="s">
        <v>257</v>
      </c>
      <c r="K257" s="115"/>
      <c r="L257" s="116"/>
      <c r="M257" s="191" t="s">
        <v>348</v>
      </c>
      <c r="N257" s="115" t="s">
        <v>258</v>
      </c>
      <c r="O257" s="115"/>
      <c r="P257" s="116"/>
      <c r="Q257" s="191" t="s">
        <v>348</v>
      </c>
      <c r="R257" s="144" t="s">
        <v>259</v>
      </c>
      <c r="S257" s="144"/>
      <c r="T257" s="144"/>
      <c r="U257" s="144"/>
      <c r="V257" s="144"/>
      <c r="W257" s="144"/>
      <c r="X257" s="226"/>
      <c r="Y257" s="147"/>
      <c r="Z257" s="105"/>
      <c r="AA257" s="105"/>
      <c r="AB257" s="106"/>
      <c r="AC257" s="365"/>
      <c r="AD257" s="365"/>
      <c r="AE257" s="365"/>
      <c r="AF257" s="365"/>
    </row>
    <row r="258" spans="1:38" s="119" customFormat="1" ht="18.75" customHeight="1" x14ac:dyDescent="0.15">
      <c r="A258" s="107"/>
      <c r="B258" s="108"/>
      <c r="C258" s="109"/>
      <c r="D258" s="110"/>
      <c r="E258" s="111"/>
      <c r="F258" s="110"/>
      <c r="G258" s="113"/>
      <c r="H258" s="230" t="s">
        <v>97</v>
      </c>
      <c r="I258" s="148" t="s">
        <v>348</v>
      </c>
      <c r="J258" s="149" t="s">
        <v>230</v>
      </c>
      <c r="K258" s="150"/>
      <c r="L258" s="151"/>
      <c r="M258" s="152" t="s">
        <v>348</v>
      </c>
      <c r="N258" s="149" t="s">
        <v>231</v>
      </c>
      <c r="O258" s="154"/>
      <c r="P258" s="154"/>
      <c r="Q258" s="154"/>
      <c r="R258" s="154"/>
      <c r="S258" s="154"/>
      <c r="T258" s="154"/>
      <c r="U258" s="154"/>
      <c r="V258" s="154"/>
      <c r="W258" s="154"/>
      <c r="X258" s="155"/>
      <c r="Y258" s="147"/>
      <c r="Z258" s="105"/>
      <c r="AA258" s="105"/>
      <c r="AB258" s="106"/>
      <c r="AC258" s="365"/>
      <c r="AD258" s="365"/>
      <c r="AE258" s="365"/>
      <c r="AF258" s="365"/>
      <c r="AI258" s="119" t="str">
        <f>"22:unitcare_code:" &amp; IF(I258="■",1,IF(M258="■",2,0))</f>
        <v>22:unitcare_code:0</v>
      </c>
    </row>
    <row r="259" spans="1:38" s="119" customFormat="1" ht="18.75" customHeight="1" x14ac:dyDescent="0.15">
      <c r="A259" s="107"/>
      <c r="B259" s="108"/>
      <c r="C259" s="238"/>
      <c r="D259" s="239"/>
      <c r="E259" s="111"/>
      <c r="F259" s="112"/>
      <c r="G259" s="113"/>
      <c r="H259" s="230" t="s">
        <v>103</v>
      </c>
      <c r="I259" s="148" t="s">
        <v>348</v>
      </c>
      <c r="J259" s="149" t="s">
        <v>360</v>
      </c>
      <c r="K259" s="150"/>
      <c r="L259" s="151"/>
      <c r="M259" s="152" t="s">
        <v>348</v>
      </c>
      <c r="N259" s="149" t="s">
        <v>361</v>
      </c>
      <c r="O259" s="150"/>
      <c r="P259" s="150"/>
      <c r="Q259" s="150"/>
      <c r="R259" s="150"/>
      <c r="S259" s="150"/>
      <c r="T259" s="150"/>
      <c r="U259" s="150"/>
      <c r="V259" s="150"/>
      <c r="W259" s="150"/>
      <c r="X259" s="159"/>
      <c r="Y259" s="147"/>
      <c r="Z259" s="105"/>
      <c r="AA259" s="105"/>
      <c r="AB259" s="106"/>
      <c r="AC259" s="365"/>
      <c r="AD259" s="365"/>
      <c r="AE259" s="365"/>
      <c r="AF259" s="365"/>
      <c r="AI259" s="119" t="str">
        <f>"22:sintaikousoku_code:" &amp; IF(I259="■",1,IF(M259="■",2,0))</f>
        <v>22:sintaikousoku_code:0</v>
      </c>
    </row>
    <row r="260" spans="1:38" s="119" customFormat="1" ht="19.5" customHeight="1" x14ac:dyDescent="0.15">
      <c r="A260" s="107"/>
      <c r="B260" s="108"/>
      <c r="C260" s="109"/>
      <c r="D260" s="110"/>
      <c r="E260" s="111"/>
      <c r="F260" s="112"/>
      <c r="G260" s="113"/>
      <c r="H260" s="114" t="s">
        <v>369</v>
      </c>
      <c r="I260" s="148" t="s">
        <v>348</v>
      </c>
      <c r="J260" s="149" t="s">
        <v>360</v>
      </c>
      <c r="K260" s="150"/>
      <c r="L260" s="151"/>
      <c r="M260" s="152" t="s">
        <v>348</v>
      </c>
      <c r="N260" s="149" t="s">
        <v>370</v>
      </c>
      <c r="O260" s="153"/>
      <c r="P260" s="149"/>
      <c r="Q260" s="154"/>
      <c r="R260" s="154"/>
      <c r="S260" s="154"/>
      <c r="T260" s="154"/>
      <c r="U260" s="154"/>
      <c r="V260" s="154"/>
      <c r="W260" s="154"/>
      <c r="X260" s="155"/>
      <c r="Y260" s="105"/>
      <c r="Z260" s="105"/>
      <c r="AA260" s="105"/>
      <c r="AB260" s="106"/>
      <c r="AC260" s="365"/>
      <c r="AD260" s="365"/>
      <c r="AE260" s="365"/>
      <c r="AF260" s="365"/>
      <c r="AI260" s="119" t="str">
        <f>"22:field223:" &amp; IF(I260="■",1,IF(M260="■",2,0))</f>
        <v>22:field223:0</v>
      </c>
    </row>
    <row r="261" spans="1:38" s="119" customFormat="1" ht="19.5" customHeight="1" x14ac:dyDescent="0.15">
      <c r="A261" s="107"/>
      <c r="B261" s="108"/>
      <c r="C261" s="109"/>
      <c r="D261" s="110"/>
      <c r="E261" s="111"/>
      <c r="F261" s="112"/>
      <c r="G261" s="113"/>
      <c r="H261" s="114" t="s">
        <v>390</v>
      </c>
      <c r="I261" s="148" t="s">
        <v>348</v>
      </c>
      <c r="J261" s="149" t="s">
        <v>360</v>
      </c>
      <c r="K261" s="150"/>
      <c r="L261" s="151"/>
      <c r="M261" s="152" t="s">
        <v>348</v>
      </c>
      <c r="N261" s="149" t="s">
        <v>370</v>
      </c>
      <c r="O261" s="153"/>
      <c r="P261" s="149"/>
      <c r="Q261" s="154"/>
      <c r="R261" s="154"/>
      <c r="S261" s="154"/>
      <c r="T261" s="154"/>
      <c r="U261" s="154"/>
      <c r="V261" s="154"/>
      <c r="W261" s="154"/>
      <c r="X261" s="155"/>
      <c r="Y261" s="105"/>
      <c r="Z261" s="105"/>
      <c r="AA261" s="105"/>
      <c r="AB261" s="106"/>
      <c r="AC261" s="365"/>
      <c r="AD261" s="365"/>
      <c r="AE261" s="365"/>
      <c r="AF261" s="365"/>
      <c r="AI261" s="119" t="str">
        <f>"22:field232:" &amp; IF(I261="■",1,IF(M261="■",2,0))</f>
        <v>22:field232:0</v>
      </c>
    </row>
    <row r="262" spans="1:38" ht="19.5" customHeight="1" x14ac:dyDescent="0.15">
      <c r="A262" s="107"/>
      <c r="B262" s="108"/>
      <c r="C262" s="109"/>
      <c r="D262" s="110"/>
      <c r="E262" s="111"/>
      <c r="F262" s="112"/>
      <c r="G262" s="113"/>
      <c r="H262" s="114" t="s">
        <v>455</v>
      </c>
      <c r="I262" s="148" t="s">
        <v>348</v>
      </c>
      <c r="J262" s="115" t="s">
        <v>453</v>
      </c>
      <c r="K262" s="166"/>
      <c r="L262" s="116"/>
      <c r="M262" s="152" t="s">
        <v>348</v>
      </c>
      <c r="N262" s="115" t="s">
        <v>454</v>
      </c>
      <c r="O262" s="236"/>
      <c r="P262" s="115"/>
      <c r="Q262" s="145"/>
      <c r="R262" s="145"/>
      <c r="S262" s="145"/>
      <c r="T262" s="145"/>
      <c r="U262" s="145"/>
      <c r="V262" s="145"/>
      <c r="W262" s="145"/>
      <c r="X262" s="146"/>
      <c r="Y262" s="162"/>
      <c r="Z262" s="104"/>
      <c r="AA262" s="105"/>
      <c r="AB262" s="106"/>
      <c r="AC262" s="365"/>
      <c r="AD262" s="365"/>
      <c r="AE262" s="365"/>
      <c r="AF262" s="365"/>
      <c r="AG262" s="103"/>
      <c r="AH262" s="103"/>
      <c r="AI262" s="119" t="str">
        <f>"22:field242:" &amp; IF(I262="■",1,IF(M262="■",2,0))</f>
        <v>22:field242:0</v>
      </c>
      <c r="AJ262" s="103"/>
      <c r="AK262" s="103"/>
      <c r="AL262" s="103"/>
    </row>
    <row r="263" spans="1:38" s="119" customFormat="1" ht="18.75" customHeight="1" x14ac:dyDescent="0.15">
      <c r="A263" s="107"/>
      <c r="B263" s="108"/>
      <c r="C263" s="109"/>
      <c r="D263" s="110"/>
      <c r="E263" s="111"/>
      <c r="F263" s="110"/>
      <c r="G263" s="113"/>
      <c r="H263" s="230" t="s">
        <v>105</v>
      </c>
      <c r="I263" s="148" t="s">
        <v>348</v>
      </c>
      <c r="J263" s="149" t="s">
        <v>216</v>
      </c>
      <c r="K263" s="150"/>
      <c r="L263" s="152" t="s">
        <v>348</v>
      </c>
      <c r="M263" s="149" t="s">
        <v>232</v>
      </c>
      <c r="N263" s="154"/>
      <c r="O263" s="154"/>
      <c r="P263" s="154"/>
      <c r="Q263" s="154"/>
      <c r="R263" s="154"/>
      <c r="S263" s="154"/>
      <c r="T263" s="154"/>
      <c r="U263" s="154"/>
      <c r="V263" s="154"/>
      <c r="W263" s="154"/>
      <c r="X263" s="155"/>
      <c r="Y263" s="147"/>
      <c r="Z263" s="105"/>
      <c r="AA263" s="105"/>
      <c r="AB263" s="106"/>
      <c r="AC263" s="365"/>
      <c r="AD263" s="365"/>
      <c r="AE263" s="365"/>
      <c r="AF263" s="365"/>
      <c r="AI263" s="119" t="str">
        <f>"22:yakinhaiti_code:" &amp; IF(I263="■",1,IF(L263="■",2,0))</f>
        <v>22:yakinhaiti_code:0</v>
      </c>
    </row>
    <row r="264" spans="1:38" s="119" customFormat="1" ht="18.75" customHeight="1" x14ac:dyDescent="0.15">
      <c r="A264" s="128" t="s">
        <v>348</v>
      </c>
      <c r="B264" s="108">
        <v>22</v>
      </c>
      <c r="C264" s="109" t="s">
        <v>172</v>
      </c>
      <c r="D264" s="123" t="s">
        <v>348</v>
      </c>
      <c r="E264" s="111" t="s">
        <v>291</v>
      </c>
      <c r="F264" s="110"/>
      <c r="G264" s="113"/>
      <c r="H264" s="230" t="s">
        <v>99</v>
      </c>
      <c r="I264" s="148" t="s">
        <v>348</v>
      </c>
      <c r="J264" s="149" t="s">
        <v>216</v>
      </c>
      <c r="K264" s="150"/>
      <c r="L264" s="152" t="s">
        <v>348</v>
      </c>
      <c r="M264" s="149" t="s">
        <v>232</v>
      </c>
      <c r="N264" s="154"/>
      <c r="O264" s="154"/>
      <c r="P264" s="154"/>
      <c r="Q264" s="154"/>
      <c r="R264" s="154"/>
      <c r="S264" s="154"/>
      <c r="T264" s="154"/>
      <c r="U264" s="154"/>
      <c r="V264" s="154"/>
      <c r="W264" s="154"/>
      <c r="X264" s="155"/>
      <c r="Y264" s="147"/>
      <c r="Z264" s="105"/>
      <c r="AA264" s="105"/>
      <c r="AB264" s="106"/>
      <c r="AC264" s="365"/>
      <c r="AD264" s="365"/>
      <c r="AE264" s="365"/>
      <c r="AF264" s="365"/>
      <c r="AI264" s="119" t="str">
        <f>"22:ninticare_code:" &amp; IF(I264="■",1,IF(L264="■",2,0))</f>
        <v>22:ninticare_code:0</v>
      </c>
    </row>
    <row r="265" spans="1:38" s="119" customFormat="1" ht="18.75" customHeight="1" x14ac:dyDescent="0.15">
      <c r="A265" s="107"/>
      <c r="B265" s="108"/>
      <c r="C265" s="109"/>
      <c r="D265" s="110"/>
      <c r="E265" s="111"/>
      <c r="F265" s="110"/>
      <c r="G265" s="113"/>
      <c r="H265" s="230" t="s">
        <v>104</v>
      </c>
      <c r="I265" s="148" t="s">
        <v>348</v>
      </c>
      <c r="J265" s="149" t="s">
        <v>216</v>
      </c>
      <c r="K265" s="150"/>
      <c r="L265" s="152" t="s">
        <v>348</v>
      </c>
      <c r="M265" s="149" t="s">
        <v>232</v>
      </c>
      <c r="N265" s="154"/>
      <c r="O265" s="154"/>
      <c r="P265" s="154"/>
      <c r="Q265" s="154"/>
      <c r="R265" s="154"/>
      <c r="S265" s="154"/>
      <c r="T265" s="154"/>
      <c r="U265" s="154"/>
      <c r="V265" s="154"/>
      <c r="W265" s="154"/>
      <c r="X265" s="155"/>
      <c r="Y265" s="147"/>
      <c r="Z265" s="105"/>
      <c r="AA265" s="105"/>
      <c r="AB265" s="106"/>
      <c r="AC265" s="365"/>
      <c r="AD265" s="365"/>
      <c r="AE265" s="365"/>
      <c r="AF265" s="365"/>
      <c r="AI265" s="119" t="str">
        <f>"22:jyakuninti_uke_code:" &amp; IF(I265="■",1,IF(L265="■",2,0))</f>
        <v>22:jyakuninti_uke_code:0</v>
      </c>
    </row>
    <row r="266" spans="1:38" s="119" customFormat="1" ht="18.75" customHeight="1" x14ac:dyDescent="0.15">
      <c r="A266" s="107"/>
      <c r="B266" s="108"/>
      <c r="C266" s="109"/>
      <c r="D266" s="110"/>
      <c r="E266" s="111"/>
      <c r="F266" s="110"/>
      <c r="G266" s="113"/>
      <c r="H266" s="230" t="s">
        <v>94</v>
      </c>
      <c r="I266" s="148" t="s">
        <v>348</v>
      </c>
      <c r="J266" s="149" t="s">
        <v>230</v>
      </c>
      <c r="K266" s="150"/>
      <c r="L266" s="151"/>
      <c r="M266" s="152" t="s">
        <v>348</v>
      </c>
      <c r="N266" s="149" t="s">
        <v>231</v>
      </c>
      <c r="O266" s="154"/>
      <c r="P266" s="154"/>
      <c r="Q266" s="154"/>
      <c r="R266" s="154"/>
      <c r="S266" s="154"/>
      <c r="T266" s="154"/>
      <c r="U266" s="154"/>
      <c r="V266" s="154"/>
      <c r="W266" s="154"/>
      <c r="X266" s="155"/>
      <c r="Y266" s="147"/>
      <c r="Z266" s="105"/>
      <c r="AA266" s="105"/>
      <c r="AB266" s="106"/>
      <c r="AC266" s="365"/>
      <c r="AD266" s="365"/>
      <c r="AE266" s="365"/>
      <c r="AF266" s="365"/>
      <c r="AI266" s="119" t="str">
        <f>"22:sougei_code:" &amp; IF(I266="■",1,IF(M266="■",2,0))</f>
        <v>22:sougei_code:0</v>
      </c>
    </row>
    <row r="267" spans="1:38" s="119" customFormat="1" ht="19.5" customHeight="1" x14ac:dyDescent="0.15">
      <c r="A267" s="107"/>
      <c r="B267" s="108"/>
      <c r="C267" s="109"/>
      <c r="D267" s="110"/>
      <c r="E267" s="111"/>
      <c r="F267" s="112"/>
      <c r="G267" s="113"/>
      <c r="H267" s="114" t="s">
        <v>372</v>
      </c>
      <c r="I267" s="148" t="s">
        <v>348</v>
      </c>
      <c r="J267" s="149" t="s">
        <v>216</v>
      </c>
      <c r="K267" s="149"/>
      <c r="L267" s="152" t="s">
        <v>348</v>
      </c>
      <c r="M267" s="149" t="s">
        <v>232</v>
      </c>
      <c r="N267" s="149"/>
      <c r="O267" s="154"/>
      <c r="P267" s="149"/>
      <c r="Q267" s="154"/>
      <c r="R267" s="154"/>
      <c r="S267" s="154"/>
      <c r="T267" s="154"/>
      <c r="U267" s="154"/>
      <c r="V267" s="154"/>
      <c r="W267" s="154"/>
      <c r="X267" s="155"/>
      <c r="Y267" s="105"/>
      <c r="Z267" s="105"/>
      <c r="AA267" s="105"/>
      <c r="AB267" s="106"/>
      <c r="AC267" s="365"/>
      <c r="AD267" s="365"/>
      <c r="AE267" s="365"/>
      <c r="AF267" s="365"/>
      <c r="AI267" s="119" t="str">
        <f>"22:field224:" &amp; IF(I267="■",1,IF(L267="■",2,0))</f>
        <v>22:field224:0</v>
      </c>
    </row>
    <row r="268" spans="1:38" s="119" customFormat="1" ht="18.75" customHeight="1" x14ac:dyDescent="0.15">
      <c r="A268" s="107"/>
      <c r="B268" s="108"/>
      <c r="C268" s="109"/>
      <c r="D268" s="110"/>
      <c r="E268" s="111"/>
      <c r="F268" s="110"/>
      <c r="G268" s="113"/>
      <c r="H268" s="230" t="s">
        <v>106</v>
      </c>
      <c r="I268" s="148" t="s">
        <v>348</v>
      </c>
      <c r="J268" s="149" t="s">
        <v>216</v>
      </c>
      <c r="K268" s="150"/>
      <c r="L268" s="152" t="s">
        <v>348</v>
      </c>
      <c r="M268" s="149" t="s">
        <v>232</v>
      </c>
      <c r="N268" s="154"/>
      <c r="O268" s="154"/>
      <c r="P268" s="154"/>
      <c r="Q268" s="154"/>
      <c r="R268" s="154"/>
      <c r="S268" s="154"/>
      <c r="T268" s="154"/>
      <c r="U268" s="154"/>
      <c r="V268" s="154"/>
      <c r="W268" s="154"/>
      <c r="X268" s="155"/>
      <c r="Y268" s="147"/>
      <c r="Z268" s="105"/>
      <c r="AA268" s="105"/>
      <c r="AB268" s="106"/>
      <c r="AC268" s="365"/>
      <c r="AD268" s="365"/>
      <c r="AE268" s="365"/>
      <c r="AF268" s="365"/>
      <c r="AI268" s="119" t="str">
        <f>"22:ryouyoushoku_code:" &amp; IF(I268="■",1,IF(L268="■",2,0))</f>
        <v>22:ryouyoushoku_code:0</v>
      </c>
    </row>
    <row r="269" spans="1:38" s="119" customFormat="1" ht="18.75" customHeight="1" x14ac:dyDescent="0.15">
      <c r="A269" s="107"/>
      <c r="B269" s="108"/>
      <c r="C269" s="109"/>
      <c r="D269" s="110"/>
      <c r="E269" s="111"/>
      <c r="F269" s="110"/>
      <c r="G269" s="113"/>
      <c r="H269" s="230" t="s">
        <v>165</v>
      </c>
      <c r="I269" s="148" t="s">
        <v>348</v>
      </c>
      <c r="J269" s="149" t="s">
        <v>216</v>
      </c>
      <c r="K269" s="149"/>
      <c r="L269" s="152" t="s">
        <v>348</v>
      </c>
      <c r="M269" s="149" t="s">
        <v>217</v>
      </c>
      <c r="N269" s="149"/>
      <c r="O269" s="152" t="s">
        <v>348</v>
      </c>
      <c r="P269" s="149" t="s">
        <v>218</v>
      </c>
      <c r="Q269" s="154"/>
      <c r="R269" s="154"/>
      <c r="S269" s="154"/>
      <c r="T269" s="154"/>
      <c r="U269" s="154"/>
      <c r="V269" s="154"/>
      <c r="W269" s="154"/>
      <c r="X269" s="155"/>
      <c r="Y269" s="147"/>
      <c r="Z269" s="105"/>
      <c r="AA269" s="105"/>
      <c r="AB269" s="106"/>
      <c r="AC269" s="365"/>
      <c r="AD269" s="365"/>
      <c r="AE269" s="365"/>
      <c r="AF269" s="365"/>
      <c r="AI269" s="119" t="str">
        <f>"22:ninti_senmoncare_code:" &amp; IF(I269="■",1,IF(O269="■",3,IF(L269="■",2,0)))</f>
        <v>22:ninti_senmoncare_code:0</v>
      </c>
    </row>
    <row r="270" spans="1:38" s="119" customFormat="1" ht="18.75" customHeight="1" x14ac:dyDescent="0.15">
      <c r="A270" s="107"/>
      <c r="B270" s="108"/>
      <c r="C270" s="109"/>
      <c r="D270" s="110"/>
      <c r="E270" s="111"/>
      <c r="F270" s="110"/>
      <c r="G270" s="113"/>
      <c r="H270" s="240" t="s">
        <v>385</v>
      </c>
      <c r="I270" s="148" t="s">
        <v>348</v>
      </c>
      <c r="J270" s="149" t="s">
        <v>216</v>
      </c>
      <c r="K270" s="149"/>
      <c r="L270" s="152" t="s">
        <v>348</v>
      </c>
      <c r="M270" s="149" t="s">
        <v>217</v>
      </c>
      <c r="N270" s="149"/>
      <c r="O270" s="152" t="s">
        <v>348</v>
      </c>
      <c r="P270" s="149" t="s">
        <v>218</v>
      </c>
      <c r="Q270" s="154"/>
      <c r="R270" s="154"/>
      <c r="S270" s="154"/>
      <c r="T270" s="154"/>
      <c r="U270" s="241"/>
      <c r="V270" s="241"/>
      <c r="W270" s="241"/>
      <c r="X270" s="242"/>
      <c r="Y270" s="147"/>
      <c r="Z270" s="105"/>
      <c r="AA270" s="105"/>
      <c r="AB270" s="106"/>
      <c r="AC270" s="365"/>
      <c r="AD270" s="365"/>
      <c r="AE270" s="365"/>
      <c r="AF270" s="365"/>
      <c r="AI270" s="119" t="str">
        <f>"22:field225:" &amp; IF(I270="■",1,IF(L270="■",2,IF(O270="■",3,0)))</f>
        <v>22:field225:0</v>
      </c>
    </row>
    <row r="271" spans="1:38" s="119" customFormat="1" ht="18.75" customHeight="1" x14ac:dyDescent="0.15">
      <c r="A271" s="107"/>
      <c r="B271" s="108"/>
      <c r="C271" s="109"/>
      <c r="D271" s="110"/>
      <c r="E271" s="111"/>
      <c r="F271" s="110"/>
      <c r="G271" s="113"/>
      <c r="H271" s="227" t="s">
        <v>111</v>
      </c>
      <c r="I271" s="148" t="s">
        <v>348</v>
      </c>
      <c r="J271" s="149" t="s">
        <v>216</v>
      </c>
      <c r="K271" s="149"/>
      <c r="L271" s="152" t="s">
        <v>348</v>
      </c>
      <c r="M271" s="149" t="s">
        <v>224</v>
      </c>
      <c r="N271" s="149"/>
      <c r="O271" s="152" t="s">
        <v>348</v>
      </c>
      <c r="P271" s="149" t="s">
        <v>225</v>
      </c>
      <c r="Q271" s="196"/>
      <c r="R271" s="152" t="s">
        <v>348</v>
      </c>
      <c r="S271" s="149" t="s">
        <v>248</v>
      </c>
      <c r="T271" s="196"/>
      <c r="U271" s="196"/>
      <c r="V271" s="196"/>
      <c r="W271" s="196"/>
      <c r="X271" s="197"/>
      <c r="Y271" s="147"/>
      <c r="Z271" s="105"/>
      <c r="AA271" s="105"/>
      <c r="AB271" s="106"/>
      <c r="AC271" s="365"/>
      <c r="AD271" s="365"/>
      <c r="AE271" s="365"/>
      <c r="AF271" s="365"/>
      <c r="AI271" s="119" t="str">
        <f>"22:serteikyo_kyoka_code:" &amp; IF(I271="■",1,IF(L271="■",6,IF(O271="■",5,IF(R271="■",7,0))))</f>
        <v>22:serteikyo_kyoka_code:0</v>
      </c>
    </row>
    <row r="272" spans="1:38" s="119" customFormat="1" ht="18.75" customHeight="1" x14ac:dyDescent="0.15">
      <c r="A272" s="107"/>
      <c r="B272" s="108"/>
      <c r="C272" s="109"/>
      <c r="D272" s="110"/>
      <c r="E272" s="111"/>
      <c r="F272" s="110"/>
      <c r="G272" s="113"/>
      <c r="H272" s="329" t="s">
        <v>409</v>
      </c>
      <c r="I272" s="358" t="s">
        <v>348</v>
      </c>
      <c r="J272" s="359" t="s">
        <v>216</v>
      </c>
      <c r="K272" s="359"/>
      <c r="L272" s="360" t="s">
        <v>348</v>
      </c>
      <c r="M272" s="359" t="s">
        <v>232</v>
      </c>
      <c r="N272" s="359"/>
      <c r="O272" s="160"/>
      <c r="P272" s="160"/>
      <c r="Q272" s="160"/>
      <c r="R272" s="160"/>
      <c r="S272" s="160"/>
      <c r="T272" s="160"/>
      <c r="U272" s="160"/>
      <c r="V272" s="160"/>
      <c r="W272" s="160"/>
      <c r="X272" s="163"/>
      <c r="Y272" s="147"/>
      <c r="Z272" s="105"/>
      <c r="AA272" s="105"/>
      <c r="AB272" s="106"/>
      <c r="AC272" s="365"/>
      <c r="AD272" s="365"/>
      <c r="AE272" s="365"/>
      <c r="AF272" s="365"/>
      <c r="AI272" s="119" t="str">
        <f>"22:field221:" &amp; IF(I272="■",1,IF(L272="■",2,0))</f>
        <v>22:field221:0</v>
      </c>
    </row>
    <row r="273" spans="1:36" s="119" customFormat="1" ht="18.75" customHeight="1" x14ac:dyDescent="0.15">
      <c r="A273" s="107"/>
      <c r="B273" s="108"/>
      <c r="C273" s="109"/>
      <c r="D273" s="110"/>
      <c r="E273" s="111"/>
      <c r="F273" s="110"/>
      <c r="G273" s="113"/>
      <c r="H273" s="328"/>
      <c r="I273" s="358"/>
      <c r="J273" s="359"/>
      <c r="K273" s="359"/>
      <c r="L273" s="360"/>
      <c r="M273" s="359"/>
      <c r="N273" s="359"/>
      <c r="O273" s="115"/>
      <c r="P273" s="115"/>
      <c r="Q273" s="115"/>
      <c r="R273" s="115"/>
      <c r="S273" s="115"/>
      <c r="T273" s="115"/>
      <c r="U273" s="115"/>
      <c r="V273" s="115"/>
      <c r="W273" s="115"/>
      <c r="X273" s="161"/>
      <c r="Y273" s="147"/>
      <c r="Z273" s="105"/>
      <c r="AA273" s="105"/>
      <c r="AB273" s="106"/>
      <c r="AC273" s="365"/>
      <c r="AD273" s="365"/>
      <c r="AE273" s="365"/>
      <c r="AF273" s="365"/>
    </row>
    <row r="274" spans="1:36" s="119" customFormat="1" ht="18.75" customHeight="1" x14ac:dyDescent="0.15">
      <c r="A274" s="107"/>
      <c r="B274" s="108"/>
      <c r="C274" s="109"/>
      <c r="D274" s="110"/>
      <c r="E274" s="111"/>
      <c r="F274" s="112"/>
      <c r="G274" s="113"/>
      <c r="H274" s="204" t="s">
        <v>405</v>
      </c>
      <c r="I274" s="194" t="s">
        <v>348</v>
      </c>
      <c r="J274" s="160" t="s">
        <v>216</v>
      </c>
      <c r="K274" s="160"/>
      <c r="L274" s="195" t="s">
        <v>348</v>
      </c>
      <c r="M274" s="160" t="s">
        <v>373</v>
      </c>
      <c r="N274" s="246"/>
      <c r="O274" s="195" t="s">
        <v>348</v>
      </c>
      <c r="P274" s="104" t="s">
        <v>374</v>
      </c>
      <c r="Q274" s="247"/>
      <c r="R274" s="195" t="s">
        <v>348</v>
      </c>
      <c r="S274" s="160" t="s">
        <v>375</v>
      </c>
      <c r="T274" s="247"/>
      <c r="U274" s="195" t="s">
        <v>348</v>
      </c>
      <c r="V274" s="160" t="s">
        <v>376</v>
      </c>
      <c r="W274" s="241"/>
      <c r="X274" s="242"/>
      <c r="Y274" s="105"/>
      <c r="Z274" s="105"/>
      <c r="AA274" s="105"/>
      <c r="AB274" s="106"/>
      <c r="AC274" s="365"/>
      <c r="AD274" s="365"/>
      <c r="AE274" s="365"/>
      <c r="AF274" s="365"/>
      <c r="AI274" s="119" t="str">
        <f>"22:shoguukaizen_code:"&amp;IF(I274="■",1,IF(L274="■",7,IF(O274="■",8,IF(R274="■",9,IF(U274="■","A",0)))))</f>
        <v>22:shoguukaizen_code:0</v>
      </c>
    </row>
    <row r="275" spans="1:36" s="119" customFormat="1" ht="18.75" customHeight="1" x14ac:dyDescent="0.15">
      <c r="A275" s="130"/>
      <c r="B275" s="131"/>
      <c r="C275" s="132"/>
      <c r="D275" s="133"/>
      <c r="E275" s="126"/>
      <c r="F275" s="133"/>
      <c r="G275" s="135"/>
      <c r="H275" s="214" t="s">
        <v>96</v>
      </c>
      <c r="I275" s="183" t="s">
        <v>348</v>
      </c>
      <c r="J275" s="184" t="s">
        <v>265</v>
      </c>
      <c r="K275" s="185"/>
      <c r="L275" s="186"/>
      <c r="M275" s="187" t="s">
        <v>348</v>
      </c>
      <c r="N275" s="184" t="s">
        <v>266</v>
      </c>
      <c r="O275" s="188"/>
      <c r="P275" s="188"/>
      <c r="Q275" s="188"/>
      <c r="R275" s="188"/>
      <c r="S275" s="188"/>
      <c r="T275" s="188"/>
      <c r="U275" s="188"/>
      <c r="V275" s="188"/>
      <c r="W275" s="188"/>
      <c r="X275" s="189"/>
      <c r="Y275" s="140" t="s">
        <v>348</v>
      </c>
      <c r="Z275" s="124" t="s">
        <v>215</v>
      </c>
      <c r="AA275" s="124"/>
      <c r="AB275" s="139"/>
      <c r="AC275" s="363"/>
      <c r="AD275" s="363"/>
      <c r="AE275" s="363"/>
      <c r="AF275" s="363"/>
      <c r="AG275" s="119" t="str">
        <f>"ser_code = '" &amp; IF(A283="■",22,"") &amp; "'"</f>
        <v>ser_code = ''</v>
      </c>
      <c r="AI275" s="119" t="str">
        <f>"22:yakan_kinmu_code:" &amp; IF(I275="■",1,IF(M275="■",6,0))</f>
        <v>22:yakan_kinmu_code:0</v>
      </c>
      <c r="AJ275" s="119" t="str">
        <f>"22:field203:" &amp; IF(Y275="■",1,IF(Y276="■",2,0))</f>
        <v>22:field203:0</v>
      </c>
    </row>
    <row r="276" spans="1:36" s="119" customFormat="1" ht="18.75" customHeight="1" x14ac:dyDescent="0.15">
      <c r="A276" s="107"/>
      <c r="B276" s="108"/>
      <c r="C276" s="109"/>
      <c r="D276" s="110"/>
      <c r="E276" s="111"/>
      <c r="F276" s="110"/>
      <c r="G276" s="113"/>
      <c r="H276" s="370" t="s">
        <v>162</v>
      </c>
      <c r="I276" s="194" t="s">
        <v>348</v>
      </c>
      <c r="J276" s="160" t="s">
        <v>216</v>
      </c>
      <c r="K276" s="160"/>
      <c r="L276" s="205"/>
      <c r="M276" s="195" t="s">
        <v>348</v>
      </c>
      <c r="N276" s="160" t="s">
        <v>254</v>
      </c>
      <c r="O276" s="160"/>
      <c r="P276" s="205"/>
      <c r="Q276" s="195" t="s">
        <v>348</v>
      </c>
      <c r="R276" s="198" t="s">
        <v>255</v>
      </c>
      <c r="S276" s="198"/>
      <c r="T276" s="198"/>
      <c r="U276" s="195" t="s">
        <v>348</v>
      </c>
      <c r="V276" s="198" t="s">
        <v>256</v>
      </c>
      <c r="W276" s="198"/>
      <c r="X276" s="199"/>
      <c r="Y276" s="123" t="s">
        <v>348</v>
      </c>
      <c r="Z276" s="104" t="s">
        <v>221</v>
      </c>
      <c r="AA276" s="105"/>
      <c r="AB276" s="106"/>
      <c r="AC276" s="365"/>
      <c r="AD276" s="365"/>
      <c r="AE276" s="365"/>
      <c r="AF276" s="365"/>
      <c r="AG276" s="119" t="str">
        <f>"22:sisetukbn_code:" &amp; IF(D283="■","A",0)</f>
        <v>22:sisetukbn_code:0</v>
      </c>
      <c r="AI276" s="119" t="str">
        <f>"22:"&amp;IF(AND(I276="□",M276="□",Q276="□",U276="□",I277="□",M277="□",Q277="□"),"ketu_doctor_code:0",IF(I276="■","ketu_doctor_code:1:ketu_kangos_code:1:ketu_kshoku_code:1:ketu_rryoho_code:1:ketu_sryoho_code:1:ketu_gengo_code:1",
IF(M276="■","ketu_doctor_code:2","ketu_doctor_code:1")
&amp;IF(Q276="■",":ketu_kangos_code:2",":ketu_kangos_code:1")
&amp;IF(U276="■",":ketu_kshoku_code:2",":ketu_kshoku_code:1")
&amp;IF(I277="■",":ketu_rryoho_code:2",":ketu_rryoho_code:1")
&amp;IF(M277="■",":ketu_sryoho_code:2",":ketu_sryoho_code:1")
&amp;IF(Q277="■",":ketu_gengo_code:2",":ketu_gengo_code:1")))</f>
        <v>22:ketu_doctor_code:0</v>
      </c>
    </row>
    <row r="277" spans="1:36" s="119" customFormat="1" ht="18.75" customHeight="1" x14ac:dyDescent="0.15">
      <c r="A277" s="107"/>
      <c r="B277" s="108"/>
      <c r="C277" s="109"/>
      <c r="D277" s="110"/>
      <c r="E277" s="111"/>
      <c r="F277" s="110"/>
      <c r="G277" s="113"/>
      <c r="H277" s="371"/>
      <c r="I277" s="143" t="s">
        <v>348</v>
      </c>
      <c r="J277" s="115" t="s">
        <v>257</v>
      </c>
      <c r="K277" s="115"/>
      <c r="L277" s="116"/>
      <c r="M277" s="191" t="s">
        <v>348</v>
      </c>
      <c r="N277" s="115" t="s">
        <v>258</v>
      </c>
      <c r="O277" s="115"/>
      <c r="P277" s="116"/>
      <c r="Q277" s="191" t="s">
        <v>348</v>
      </c>
      <c r="R277" s="144" t="s">
        <v>259</v>
      </c>
      <c r="S277" s="144"/>
      <c r="T277" s="144"/>
      <c r="U277" s="144"/>
      <c r="V277" s="144"/>
      <c r="W277" s="144"/>
      <c r="X277" s="226"/>
      <c r="Y277" s="147"/>
      <c r="Z277" s="105"/>
      <c r="AA277" s="105"/>
      <c r="AB277" s="106"/>
      <c r="AC277" s="365"/>
      <c r="AD277" s="365"/>
      <c r="AE277" s="365"/>
      <c r="AF277" s="365"/>
    </row>
    <row r="278" spans="1:36" s="119" customFormat="1" ht="18.75" customHeight="1" x14ac:dyDescent="0.15">
      <c r="A278" s="107"/>
      <c r="B278" s="108"/>
      <c r="C278" s="109"/>
      <c r="D278" s="110"/>
      <c r="E278" s="111"/>
      <c r="F278" s="110"/>
      <c r="G278" s="113"/>
      <c r="H278" s="230" t="s">
        <v>97</v>
      </c>
      <c r="I278" s="148" t="s">
        <v>348</v>
      </c>
      <c r="J278" s="149" t="s">
        <v>230</v>
      </c>
      <c r="K278" s="150"/>
      <c r="L278" s="151"/>
      <c r="M278" s="152" t="s">
        <v>348</v>
      </c>
      <c r="N278" s="149" t="s">
        <v>231</v>
      </c>
      <c r="O278" s="154"/>
      <c r="P278" s="154"/>
      <c r="Q278" s="154"/>
      <c r="R278" s="154"/>
      <c r="S278" s="154"/>
      <c r="T278" s="154"/>
      <c r="U278" s="154"/>
      <c r="V278" s="154"/>
      <c r="W278" s="154"/>
      <c r="X278" s="155"/>
      <c r="Y278" s="147"/>
      <c r="Z278" s="105"/>
      <c r="AA278" s="105"/>
      <c r="AB278" s="106"/>
      <c r="AC278" s="365"/>
      <c r="AD278" s="365"/>
      <c r="AE278" s="365"/>
      <c r="AF278" s="365"/>
      <c r="AI278" s="119" t="str">
        <f>"22:unitcare_code:" &amp; IF(I278="■",1,IF(M278="■",2,0))</f>
        <v>22:unitcare_code:0</v>
      </c>
    </row>
    <row r="279" spans="1:36" s="119" customFormat="1" ht="18.75" customHeight="1" x14ac:dyDescent="0.15">
      <c r="A279" s="107"/>
      <c r="B279" s="108"/>
      <c r="C279" s="238"/>
      <c r="D279" s="239"/>
      <c r="E279" s="111"/>
      <c r="F279" s="112"/>
      <c r="G279" s="113"/>
      <c r="H279" s="230" t="s">
        <v>103</v>
      </c>
      <c r="I279" s="148" t="s">
        <v>348</v>
      </c>
      <c r="J279" s="149" t="s">
        <v>360</v>
      </c>
      <c r="K279" s="150"/>
      <c r="L279" s="151"/>
      <c r="M279" s="152" t="s">
        <v>348</v>
      </c>
      <c r="N279" s="149" t="s">
        <v>361</v>
      </c>
      <c r="O279" s="150"/>
      <c r="P279" s="150"/>
      <c r="Q279" s="150"/>
      <c r="R279" s="150"/>
      <c r="S279" s="150"/>
      <c r="T279" s="150"/>
      <c r="U279" s="150"/>
      <c r="V279" s="150"/>
      <c r="W279" s="150"/>
      <c r="X279" s="159"/>
      <c r="Y279" s="147"/>
      <c r="Z279" s="105"/>
      <c r="AA279" s="105"/>
      <c r="AB279" s="106"/>
      <c r="AC279" s="365"/>
      <c r="AD279" s="365"/>
      <c r="AE279" s="365"/>
      <c r="AF279" s="365"/>
      <c r="AI279" s="119" t="str">
        <f>"22:sintaikousoku_code:" &amp; IF(I279="■",1,IF(M279="■",2,0))</f>
        <v>22:sintaikousoku_code:0</v>
      </c>
    </row>
    <row r="280" spans="1:36" s="119" customFormat="1" ht="19.5" customHeight="1" x14ac:dyDescent="0.15">
      <c r="A280" s="107"/>
      <c r="B280" s="108"/>
      <c r="C280" s="109"/>
      <c r="D280" s="110"/>
      <c r="E280" s="111"/>
      <c r="F280" s="112"/>
      <c r="G280" s="113"/>
      <c r="H280" s="114" t="s">
        <v>369</v>
      </c>
      <c r="I280" s="148" t="s">
        <v>348</v>
      </c>
      <c r="J280" s="149" t="s">
        <v>360</v>
      </c>
      <c r="K280" s="150"/>
      <c r="L280" s="151"/>
      <c r="M280" s="152" t="s">
        <v>348</v>
      </c>
      <c r="N280" s="149" t="s">
        <v>370</v>
      </c>
      <c r="O280" s="153"/>
      <c r="P280" s="149"/>
      <c r="Q280" s="154"/>
      <c r="R280" s="154"/>
      <c r="S280" s="154"/>
      <c r="T280" s="154"/>
      <c r="U280" s="154"/>
      <c r="V280" s="154"/>
      <c r="W280" s="154"/>
      <c r="X280" s="155"/>
      <c r="Y280" s="105"/>
      <c r="Z280" s="105"/>
      <c r="AA280" s="105"/>
      <c r="AB280" s="106"/>
      <c r="AC280" s="365"/>
      <c r="AD280" s="365"/>
      <c r="AE280" s="365"/>
      <c r="AF280" s="365"/>
      <c r="AI280" s="119" t="str">
        <f>"22:field223:" &amp; IF(I280="■",1,IF(M280="■",2,0))</f>
        <v>22:field223:0</v>
      </c>
    </row>
    <row r="281" spans="1:36" s="119" customFormat="1" ht="19.5" customHeight="1" x14ac:dyDescent="0.15">
      <c r="A281" s="107"/>
      <c r="B281" s="108"/>
      <c r="C281" s="109"/>
      <c r="D281" s="110"/>
      <c r="E281" s="111"/>
      <c r="F281" s="112"/>
      <c r="G281" s="113"/>
      <c r="H281" s="114" t="s">
        <v>390</v>
      </c>
      <c r="I281" s="148" t="s">
        <v>348</v>
      </c>
      <c r="J281" s="149" t="s">
        <v>360</v>
      </c>
      <c r="K281" s="150"/>
      <c r="L281" s="151"/>
      <c r="M281" s="152" t="s">
        <v>348</v>
      </c>
      <c r="N281" s="149" t="s">
        <v>370</v>
      </c>
      <c r="O281" s="153"/>
      <c r="P281" s="149"/>
      <c r="Q281" s="154"/>
      <c r="R281" s="154"/>
      <c r="S281" s="154"/>
      <c r="T281" s="154"/>
      <c r="U281" s="154"/>
      <c r="V281" s="154"/>
      <c r="W281" s="154"/>
      <c r="X281" s="155"/>
      <c r="Y281" s="105"/>
      <c r="Z281" s="105"/>
      <c r="AA281" s="105"/>
      <c r="AB281" s="106"/>
      <c r="AC281" s="365"/>
      <c r="AD281" s="365"/>
      <c r="AE281" s="365"/>
      <c r="AF281" s="365"/>
      <c r="AI281" s="119" t="str">
        <f>"22:field232:" &amp; IF(I281="■",1,IF(M281="■",2,0))</f>
        <v>22:field232:0</v>
      </c>
    </row>
    <row r="282" spans="1:36" s="119" customFormat="1" ht="18.75" customHeight="1" x14ac:dyDescent="0.15">
      <c r="A282" s="107"/>
      <c r="B282" s="108"/>
      <c r="C282" s="109"/>
      <c r="D282" s="110"/>
      <c r="E282" s="111"/>
      <c r="F282" s="110"/>
      <c r="G282" s="113"/>
      <c r="H282" s="230" t="s">
        <v>105</v>
      </c>
      <c r="I282" s="148" t="s">
        <v>348</v>
      </c>
      <c r="J282" s="149" t="s">
        <v>216</v>
      </c>
      <c r="K282" s="150"/>
      <c r="L282" s="152" t="s">
        <v>348</v>
      </c>
      <c r="M282" s="149" t="s">
        <v>232</v>
      </c>
      <c r="N282" s="154"/>
      <c r="O282" s="154"/>
      <c r="P282" s="154"/>
      <c r="Q282" s="154"/>
      <c r="R282" s="154"/>
      <c r="S282" s="154"/>
      <c r="T282" s="154"/>
      <c r="U282" s="154"/>
      <c r="V282" s="154"/>
      <c r="W282" s="154"/>
      <c r="X282" s="155"/>
      <c r="Y282" s="147"/>
      <c r="Z282" s="105"/>
      <c r="AA282" s="105"/>
      <c r="AB282" s="106"/>
      <c r="AC282" s="365"/>
      <c r="AD282" s="365"/>
      <c r="AE282" s="365"/>
      <c r="AF282" s="365"/>
      <c r="AI282" s="119" t="str">
        <f>"22:yakinhaiti_code:" &amp; IF(I282="■",1,IF(L282="■",2,0))</f>
        <v>22:yakinhaiti_code:0</v>
      </c>
    </row>
    <row r="283" spans="1:36" s="119" customFormat="1" ht="18.75" customHeight="1" x14ac:dyDescent="0.15">
      <c r="A283" s="128" t="s">
        <v>348</v>
      </c>
      <c r="B283" s="108">
        <v>22</v>
      </c>
      <c r="C283" s="109" t="s">
        <v>172</v>
      </c>
      <c r="D283" s="123" t="s">
        <v>348</v>
      </c>
      <c r="E283" s="111" t="s">
        <v>292</v>
      </c>
      <c r="F283" s="110"/>
      <c r="G283" s="113"/>
      <c r="H283" s="230" t="s">
        <v>99</v>
      </c>
      <c r="I283" s="148" t="s">
        <v>348</v>
      </c>
      <c r="J283" s="149" t="s">
        <v>216</v>
      </c>
      <c r="K283" s="150"/>
      <c r="L283" s="152" t="s">
        <v>348</v>
      </c>
      <c r="M283" s="149" t="s">
        <v>232</v>
      </c>
      <c r="N283" s="154"/>
      <c r="O283" s="154"/>
      <c r="P283" s="154"/>
      <c r="Q283" s="154"/>
      <c r="R283" s="154"/>
      <c r="S283" s="154"/>
      <c r="T283" s="154"/>
      <c r="U283" s="154"/>
      <c r="V283" s="154"/>
      <c r="W283" s="154"/>
      <c r="X283" s="155"/>
      <c r="Y283" s="147"/>
      <c r="Z283" s="105"/>
      <c r="AA283" s="105"/>
      <c r="AB283" s="106"/>
      <c r="AC283" s="365"/>
      <c r="AD283" s="365"/>
      <c r="AE283" s="365"/>
      <c r="AF283" s="365"/>
      <c r="AI283" s="119" t="str">
        <f>"22:ninticare_code:" &amp; IF(I283="■",1,IF(L283="■",2,0))</f>
        <v>22:ninticare_code:0</v>
      </c>
    </row>
    <row r="284" spans="1:36" s="119" customFormat="1" ht="18.75" customHeight="1" x14ac:dyDescent="0.15">
      <c r="A284" s="107"/>
      <c r="B284" s="108"/>
      <c r="C284" s="109"/>
      <c r="D284" s="110"/>
      <c r="E284" s="111"/>
      <c r="F284" s="110"/>
      <c r="G284" s="113"/>
      <c r="H284" s="230" t="s">
        <v>104</v>
      </c>
      <c r="I284" s="148" t="s">
        <v>348</v>
      </c>
      <c r="J284" s="149" t="s">
        <v>216</v>
      </c>
      <c r="K284" s="150"/>
      <c r="L284" s="152" t="s">
        <v>348</v>
      </c>
      <c r="M284" s="149" t="s">
        <v>232</v>
      </c>
      <c r="N284" s="154"/>
      <c r="O284" s="154"/>
      <c r="P284" s="154"/>
      <c r="Q284" s="154"/>
      <c r="R284" s="154"/>
      <c r="S284" s="154"/>
      <c r="T284" s="154"/>
      <c r="U284" s="154"/>
      <c r="V284" s="154"/>
      <c r="W284" s="154"/>
      <c r="X284" s="155"/>
      <c r="Y284" s="147"/>
      <c r="Z284" s="105"/>
      <c r="AA284" s="105"/>
      <c r="AB284" s="106"/>
      <c r="AC284" s="365"/>
      <c r="AD284" s="365"/>
      <c r="AE284" s="365"/>
      <c r="AF284" s="365"/>
      <c r="AI284" s="119" t="str">
        <f>"22:jyakuninti_uke_code:" &amp; IF(I284="■",1,IF(L284="■",2,0))</f>
        <v>22:jyakuninti_uke_code:0</v>
      </c>
    </row>
    <row r="285" spans="1:36" s="119" customFormat="1" ht="18.75" customHeight="1" x14ac:dyDescent="0.15">
      <c r="A285" s="107"/>
      <c r="B285" s="108"/>
      <c r="C285" s="109"/>
      <c r="D285" s="110"/>
      <c r="E285" s="111"/>
      <c r="F285" s="110"/>
      <c r="G285" s="113"/>
      <c r="H285" s="230" t="s">
        <v>94</v>
      </c>
      <c r="I285" s="148" t="s">
        <v>348</v>
      </c>
      <c r="J285" s="149" t="s">
        <v>230</v>
      </c>
      <c r="K285" s="150"/>
      <c r="L285" s="151"/>
      <c r="M285" s="152" t="s">
        <v>348</v>
      </c>
      <c r="N285" s="149" t="s">
        <v>231</v>
      </c>
      <c r="O285" s="154"/>
      <c r="P285" s="154"/>
      <c r="Q285" s="154"/>
      <c r="R285" s="154"/>
      <c r="S285" s="154"/>
      <c r="T285" s="154"/>
      <c r="U285" s="154"/>
      <c r="V285" s="154"/>
      <c r="W285" s="154"/>
      <c r="X285" s="155"/>
      <c r="Y285" s="147"/>
      <c r="Z285" s="105"/>
      <c r="AA285" s="105"/>
      <c r="AB285" s="106"/>
      <c r="AC285" s="365"/>
      <c r="AD285" s="365"/>
      <c r="AE285" s="365"/>
      <c r="AF285" s="365"/>
      <c r="AI285" s="119" t="str">
        <f>"22:sougei_code:" &amp; IF(I285="■",1,IF(M285="■",2,0))</f>
        <v>22:sougei_code:0</v>
      </c>
    </row>
    <row r="286" spans="1:36" s="119" customFormat="1" ht="19.5" customHeight="1" x14ac:dyDescent="0.15">
      <c r="A286" s="107"/>
      <c r="B286" s="108"/>
      <c r="C286" s="109"/>
      <c r="D286" s="110"/>
      <c r="E286" s="111"/>
      <c r="F286" s="112"/>
      <c r="G286" s="113"/>
      <c r="H286" s="114" t="s">
        <v>372</v>
      </c>
      <c r="I286" s="148" t="s">
        <v>348</v>
      </c>
      <c r="J286" s="149" t="s">
        <v>216</v>
      </c>
      <c r="K286" s="149"/>
      <c r="L286" s="152" t="s">
        <v>348</v>
      </c>
      <c r="M286" s="149" t="s">
        <v>232</v>
      </c>
      <c r="N286" s="149"/>
      <c r="O286" s="154"/>
      <c r="P286" s="149"/>
      <c r="Q286" s="154"/>
      <c r="R286" s="154"/>
      <c r="S286" s="154"/>
      <c r="T286" s="154"/>
      <c r="U286" s="154"/>
      <c r="V286" s="154"/>
      <c r="W286" s="154"/>
      <c r="X286" s="155"/>
      <c r="Y286" s="105"/>
      <c r="Z286" s="105"/>
      <c r="AA286" s="105"/>
      <c r="AB286" s="106"/>
      <c r="AC286" s="365"/>
      <c r="AD286" s="365"/>
      <c r="AE286" s="365"/>
      <c r="AF286" s="365"/>
      <c r="AI286" s="119" t="str">
        <f>"22:field224:" &amp; IF(I286="■",1,IF(L286="■",2,0))</f>
        <v>22:field224:0</v>
      </c>
    </row>
    <row r="287" spans="1:36" s="119" customFormat="1" ht="18.75" customHeight="1" x14ac:dyDescent="0.15">
      <c r="A287" s="107"/>
      <c r="B287" s="108"/>
      <c r="C287" s="109"/>
      <c r="D287" s="110"/>
      <c r="E287" s="111"/>
      <c r="F287" s="110"/>
      <c r="G287" s="113"/>
      <c r="H287" s="230" t="s">
        <v>106</v>
      </c>
      <c r="I287" s="148" t="s">
        <v>348</v>
      </c>
      <c r="J287" s="149" t="s">
        <v>216</v>
      </c>
      <c r="K287" s="150"/>
      <c r="L287" s="152" t="s">
        <v>348</v>
      </c>
      <c r="M287" s="149" t="s">
        <v>232</v>
      </c>
      <c r="N287" s="154"/>
      <c r="O287" s="154"/>
      <c r="P287" s="154"/>
      <c r="Q287" s="154"/>
      <c r="R287" s="154"/>
      <c r="S287" s="154"/>
      <c r="T287" s="154"/>
      <c r="U287" s="154"/>
      <c r="V287" s="154"/>
      <c r="W287" s="154"/>
      <c r="X287" s="155"/>
      <c r="Y287" s="147"/>
      <c r="Z287" s="105"/>
      <c r="AA287" s="105"/>
      <c r="AB287" s="106"/>
      <c r="AC287" s="365"/>
      <c r="AD287" s="365"/>
      <c r="AE287" s="365"/>
      <c r="AF287" s="365"/>
      <c r="AI287" s="119" t="str">
        <f>"22:ryouyoushoku_code:" &amp; IF(I287="■",1,IF(L287="■",2,0))</f>
        <v>22:ryouyoushoku_code:0</v>
      </c>
    </row>
    <row r="288" spans="1:36" s="119" customFormat="1" ht="18.75" customHeight="1" x14ac:dyDescent="0.15">
      <c r="A288" s="107"/>
      <c r="B288" s="108"/>
      <c r="C288" s="109"/>
      <c r="D288" s="110"/>
      <c r="E288" s="111"/>
      <c r="F288" s="110"/>
      <c r="G288" s="113"/>
      <c r="H288" s="230" t="s">
        <v>165</v>
      </c>
      <c r="I288" s="148" t="s">
        <v>348</v>
      </c>
      <c r="J288" s="149" t="s">
        <v>216</v>
      </c>
      <c r="K288" s="149"/>
      <c r="L288" s="152" t="s">
        <v>348</v>
      </c>
      <c r="M288" s="149" t="s">
        <v>217</v>
      </c>
      <c r="N288" s="149"/>
      <c r="O288" s="152" t="s">
        <v>348</v>
      </c>
      <c r="P288" s="149" t="s">
        <v>218</v>
      </c>
      <c r="Q288" s="154"/>
      <c r="R288" s="154"/>
      <c r="S288" s="154"/>
      <c r="T288" s="154"/>
      <c r="U288" s="154"/>
      <c r="V288" s="154"/>
      <c r="W288" s="154"/>
      <c r="X288" s="155"/>
      <c r="Y288" s="147"/>
      <c r="Z288" s="105"/>
      <c r="AA288" s="105"/>
      <c r="AB288" s="106"/>
      <c r="AC288" s="365"/>
      <c r="AD288" s="365"/>
      <c r="AE288" s="365"/>
      <c r="AF288" s="365"/>
      <c r="AI288" s="119" t="str">
        <f>"22:ninti_senmoncare_code:" &amp; IF(I288="■",1,IF(O288="■",3,IF(L288="■",2,0)))</f>
        <v>22:ninti_senmoncare_code:0</v>
      </c>
    </row>
    <row r="289" spans="1:36" s="119" customFormat="1" ht="18.75" customHeight="1" x14ac:dyDescent="0.15">
      <c r="A289" s="107"/>
      <c r="B289" s="108"/>
      <c r="C289" s="109"/>
      <c r="D289" s="110"/>
      <c r="E289" s="111"/>
      <c r="F289" s="110"/>
      <c r="G289" s="113"/>
      <c r="H289" s="240" t="s">
        <v>385</v>
      </c>
      <c r="I289" s="148" t="s">
        <v>348</v>
      </c>
      <c r="J289" s="149" t="s">
        <v>216</v>
      </c>
      <c r="K289" s="149"/>
      <c r="L289" s="152" t="s">
        <v>348</v>
      </c>
      <c r="M289" s="149" t="s">
        <v>217</v>
      </c>
      <c r="N289" s="149"/>
      <c r="O289" s="152" t="s">
        <v>348</v>
      </c>
      <c r="P289" s="149" t="s">
        <v>218</v>
      </c>
      <c r="Q289" s="154"/>
      <c r="R289" s="154"/>
      <c r="S289" s="154"/>
      <c r="T289" s="154"/>
      <c r="U289" s="241"/>
      <c r="V289" s="241"/>
      <c r="W289" s="241"/>
      <c r="X289" s="242"/>
      <c r="Y289" s="147"/>
      <c r="Z289" s="105"/>
      <c r="AA289" s="105"/>
      <c r="AB289" s="106"/>
      <c r="AC289" s="365"/>
      <c r="AD289" s="365"/>
      <c r="AE289" s="365"/>
      <c r="AF289" s="365"/>
      <c r="AI289" s="119" t="str">
        <f>"22:field225:" &amp; IF(I289="■",1,IF(L289="■",2,IF(O289="■",3,0)))</f>
        <v>22:field225:0</v>
      </c>
    </row>
    <row r="290" spans="1:36" s="119" customFormat="1" ht="18.75" customHeight="1" x14ac:dyDescent="0.15">
      <c r="A290" s="107"/>
      <c r="B290" s="108"/>
      <c r="C290" s="109"/>
      <c r="D290" s="110"/>
      <c r="E290" s="111"/>
      <c r="F290" s="110"/>
      <c r="G290" s="113"/>
      <c r="H290" s="227" t="s">
        <v>111</v>
      </c>
      <c r="I290" s="148" t="s">
        <v>348</v>
      </c>
      <c r="J290" s="149" t="s">
        <v>216</v>
      </c>
      <c r="K290" s="149"/>
      <c r="L290" s="152" t="s">
        <v>348</v>
      </c>
      <c r="M290" s="149" t="s">
        <v>224</v>
      </c>
      <c r="N290" s="149"/>
      <c r="O290" s="152" t="s">
        <v>348</v>
      </c>
      <c r="P290" s="149" t="s">
        <v>225</v>
      </c>
      <c r="Q290" s="196"/>
      <c r="R290" s="152" t="s">
        <v>348</v>
      </c>
      <c r="S290" s="149" t="s">
        <v>248</v>
      </c>
      <c r="T290" s="196"/>
      <c r="U290" s="196"/>
      <c r="V290" s="196"/>
      <c r="W290" s="196"/>
      <c r="X290" s="197"/>
      <c r="Y290" s="147"/>
      <c r="Z290" s="105"/>
      <c r="AA290" s="105"/>
      <c r="AB290" s="106"/>
      <c r="AC290" s="365"/>
      <c r="AD290" s="365"/>
      <c r="AE290" s="365"/>
      <c r="AF290" s="365"/>
      <c r="AI290" s="119" t="str">
        <f>"22:serteikyo_kyoka_code:" &amp; IF(I290="■",1,IF(L290="■",6,IF(O290="■",5,IF(R290="■",7,0))))</f>
        <v>22:serteikyo_kyoka_code:0</v>
      </c>
    </row>
    <row r="291" spans="1:36" s="119" customFormat="1" ht="18.75" customHeight="1" x14ac:dyDescent="0.15">
      <c r="A291" s="107"/>
      <c r="B291" s="108"/>
      <c r="C291" s="109"/>
      <c r="D291" s="110"/>
      <c r="E291" s="111"/>
      <c r="F291" s="110"/>
      <c r="G291" s="113"/>
      <c r="H291" s="329" t="s">
        <v>409</v>
      </c>
      <c r="I291" s="358" t="s">
        <v>348</v>
      </c>
      <c r="J291" s="359" t="s">
        <v>216</v>
      </c>
      <c r="K291" s="359"/>
      <c r="L291" s="360" t="s">
        <v>348</v>
      </c>
      <c r="M291" s="359" t="s">
        <v>232</v>
      </c>
      <c r="N291" s="359"/>
      <c r="O291" s="160"/>
      <c r="P291" s="160"/>
      <c r="Q291" s="160"/>
      <c r="R291" s="160"/>
      <c r="S291" s="160"/>
      <c r="T291" s="160"/>
      <c r="U291" s="160"/>
      <c r="V291" s="160"/>
      <c r="W291" s="160"/>
      <c r="X291" s="163"/>
      <c r="Y291" s="147"/>
      <c r="Z291" s="105"/>
      <c r="AA291" s="105"/>
      <c r="AB291" s="106"/>
      <c r="AC291" s="365"/>
      <c r="AD291" s="365"/>
      <c r="AE291" s="365"/>
      <c r="AF291" s="365"/>
      <c r="AI291" s="119" t="str">
        <f>"22:field221:" &amp; IF(I291="■",1,IF(L291="■",2,0))</f>
        <v>22:field221:0</v>
      </c>
    </row>
    <row r="292" spans="1:36" s="119" customFormat="1" ht="18.75" customHeight="1" x14ac:dyDescent="0.15">
      <c r="A292" s="107"/>
      <c r="B292" s="108"/>
      <c r="C292" s="109"/>
      <c r="D292" s="110"/>
      <c r="E292" s="111"/>
      <c r="F292" s="110"/>
      <c r="G292" s="113"/>
      <c r="H292" s="328"/>
      <c r="I292" s="358"/>
      <c r="J292" s="359"/>
      <c r="K292" s="359"/>
      <c r="L292" s="360"/>
      <c r="M292" s="359"/>
      <c r="N292" s="359"/>
      <c r="O292" s="115"/>
      <c r="P292" s="115"/>
      <c r="Q292" s="115"/>
      <c r="R292" s="115"/>
      <c r="S292" s="115"/>
      <c r="T292" s="115"/>
      <c r="U292" s="115"/>
      <c r="V292" s="115"/>
      <c r="W292" s="115"/>
      <c r="X292" s="161"/>
      <c r="Y292" s="147"/>
      <c r="Z292" s="105"/>
      <c r="AA292" s="105"/>
      <c r="AB292" s="106"/>
      <c r="AC292" s="365"/>
      <c r="AD292" s="365"/>
      <c r="AE292" s="365"/>
      <c r="AF292" s="365"/>
    </row>
    <row r="293" spans="1:36" s="119" customFormat="1" ht="18.75" customHeight="1" x14ac:dyDescent="0.15">
      <c r="A293" s="170"/>
      <c r="B293" s="171"/>
      <c r="C293" s="172"/>
      <c r="D293" s="173"/>
      <c r="E293" s="174"/>
      <c r="F293" s="175"/>
      <c r="G293" s="176"/>
      <c r="H293" s="95" t="s">
        <v>405</v>
      </c>
      <c r="I293" s="177" t="s">
        <v>348</v>
      </c>
      <c r="J293" s="96" t="s">
        <v>216</v>
      </c>
      <c r="K293" s="96"/>
      <c r="L293" s="178" t="s">
        <v>348</v>
      </c>
      <c r="M293" s="96" t="s">
        <v>373</v>
      </c>
      <c r="N293" s="97"/>
      <c r="O293" s="178" t="s">
        <v>348</v>
      </c>
      <c r="P293" s="99" t="s">
        <v>374</v>
      </c>
      <c r="Q293" s="98"/>
      <c r="R293" s="178" t="s">
        <v>348</v>
      </c>
      <c r="S293" s="96" t="s">
        <v>375</v>
      </c>
      <c r="T293" s="98"/>
      <c r="U293" s="178" t="s">
        <v>348</v>
      </c>
      <c r="V293" s="96" t="s">
        <v>376</v>
      </c>
      <c r="W293" s="100"/>
      <c r="X293" s="101"/>
      <c r="Y293" s="179"/>
      <c r="Z293" s="179"/>
      <c r="AA293" s="179"/>
      <c r="AB293" s="180"/>
      <c r="AC293" s="366"/>
      <c r="AD293" s="366"/>
      <c r="AE293" s="366"/>
      <c r="AF293" s="366"/>
      <c r="AI293" s="119" t="str">
        <f>"22:shoguukaizen_code:"&amp;IF(I293="■",1,IF(L293="■",7,IF(O293="■",8,IF(R293="■",9,IF(U293="■","A",0)))))</f>
        <v>22:shoguukaizen_code:0</v>
      </c>
    </row>
    <row r="294" spans="1:36" s="119" customFormat="1" ht="18.75" customHeight="1" x14ac:dyDescent="0.15">
      <c r="A294" s="130"/>
      <c r="B294" s="131"/>
      <c r="C294" s="132"/>
      <c r="D294" s="133"/>
      <c r="E294" s="135"/>
      <c r="F294" s="133"/>
      <c r="G294" s="126"/>
      <c r="H294" s="340" t="s">
        <v>163</v>
      </c>
      <c r="I294" s="140" t="s">
        <v>348</v>
      </c>
      <c r="J294" s="124" t="s">
        <v>265</v>
      </c>
      <c r="K294" s="137"/>
      <c r="L294" s="231"/>
      <c r="M294" s="136" t="s">
        <v>348</v>
      </c>
      <c r="N294" s="124" t="s">
        <v>293</v>
      </c>
      <c r="O294" s="232"/>
      <c r="P294" s="232"/>
      <c r="Q294" s="136" t="s">
        <v>348</v>
      </c>
      <c r="R294" s="124" t="s">
        <v>294</v>
      </c>
      <c r="S294" s="232"/>
      <c r="T294" s="232"/>
      <c r="U294" s="136" t="s">
        <v>348</v>
      </c>
      <c r="V294" s="124" t="s">
        <v>295</v>
      </c>
      <c r="W294" s="232"/>
      <c r="X294" s="213"/>
      <c r="Y294" s="140" t="s">
        <v>348</v>
      </c>
      <c r="Z294" s="124" t="s">
        <v>215</v>
      </c>
      <c r="AA294" s="124"/>
      <c r="AB294" s="139"/>
      <c r="AC294" s="363"/>
      <c r="AD294" s="363"/>
      <c r="AE294" s="363"/>
      <c r="AF294" s="363"/>
      <c r="AG294" s="119" t="str">
        <f>"ser_code = '" &amp; IF(A305="■",23,"") &amp; "'"</f>
        <v>ser_code = ''</v>
      </c>
      <c r="AH294" s="119" t="str">
        <f>"23:jininkbn_code:" &amp; IF(F300="■",2,IF(F302="■",5,IF(F304="■",6,IF(F306="■",3,IF(F308="■",7,IF(F310="■",4,0))))))</f>
        <v>23:jininkbn_code:0</v>
      </c>
      <c r="AI294" s="119" t="str">
        <f>"23:yakan_kinmu_code:" &amp; IF(I294="■",1,IF(M294="■",2,IF(Q294="■",3,IF(U294="■",7,IF(I295="■",5,IF(M295="■",6,0))))))</f>
        <v>23:yakan_kinmu_code:0</v>
      </c>
      <c r="AJ294" s="119" t="str">
        <f>"23:field203:" &amp; IF(Y294="■",1,IF(Y295="■",2,0))</f>
        <v>23:field203:0</v>
      </c>
    </row>
    <row r="295" spans="1:36" s="119" customFormat="1" ht="18.75" customHeight="1" x14ac:dyDescent="0.15">
      <c r="A295" s="107"/>
      <c r="B295" s="108"/>
      <c r="C295" s="109"/>
      <c r="D295" s="110"/>
      <c r="E295" s="113"/>
      <c r="F295" s="110"/>
      <c r="G295" s="111"/>
      <c r="H295" s="371"/>
      <c r="I295" s="143" t="s">
        <v>348</v>
      </c>
      <c r="J295" s="115" t="s">
        <v>296</v>
      </c>
      <c r="K295" s="166"/>
      <c r="L295" s="116"/>
      <c r="M295" s="191" t="s">
        <v>348</v>
      </c>
      <c r="N295" s="115" t="s">
        <v>266</v>
      </c>
      <c r="O295" s="144"/>
      <c r="P295" s="144"/>
      <c r="Q295" s="144"/>
      <c r="R295" s="144"/>
      <c r="S295" s="144"/>
      <c r="T295" s="144"/>
      <c r="U295" s="144"/>
      <c r="V295" s="144"/>
      <c r="W295" s="144"/>
      <c r="X295" s="226"/>
      <c r="Y295" s="123" t="s">
        <v>348</v>
      </c>
      <c r="Z295" s="104" t="s">
        <v>221</v>
      </c>
      <c r="AA295" s="105"/>
      <c r="AB295" s="106"/>
      <c r="AC295" s="364"/>
      <c r="AD295" s="364"/>
      <c r="AE295" s="364"/>
      <c r="AF295" s="364"/>
      <c r="AG295" s="119" t="str">
        <f>"23:sisetukbn_code:" &amp; IF(D305="■",1,0)</f>
        <v>23:sisetukbn_code:0</v>
      </c>
    </row>
    <row r="296" spans="1:36" s="119" customFormat="1" ht="18.75" customHeight="1" x14ac:dyDescent="0.15">
      <c r="A296" s="107"/>
      <c r="B296" s="108"/>
      <c r="C296" s="109"/>
      <c r="D296" s="110"/>
      <c r="E296" s="113"/>
      <c r="F296" s="110"/>
      <c r="G296" s="111"/>
      <c r="H296" s="230" t="s">
        <v>92</v>
      </c>
      <c r="I296" s="148" t="s">
        <v>348</v>
      </c>
      <c r="J296" s="149" t="s">
        <v>216</v>
      </c>
      <c r="K296" s="149"/>
      <c r="L296" s="151"/>
      <c r="M296" s="152" t="s">
        <v>348</v>
      </c>
      <c r="N296" s="149" t="s">
        <v>254</v>
      </c>
      <c r="O296" s="149"/>
      <c r="P296" s="151"/>
      <c r="Q296" s="152" t="s">
        <v>348</v>
      </c>
      <c r="R296" s="196" t="s">
        <v>255</v>
      </c>
      <c r="S296" s="196"/>
      <c r="T296" s="196"/>
      <c r="U296" s="152" t="s">
        <v>348</v>
      </c>
      <c r="V296" s="196" t="s">
        <v>256</v>
      </c>
      <c r="W296" s="154"/>
      <c r="X296" s="155"/>
      <c r="Y296" s="147"/>
      <c r="Z296" s="105"/>
      <c r="AA296" s="105"/>
      <c r="AB296" s="106"/>
      <c r="AC296" s="365"/>
      <c r="AD296" s="365"/>
      <c r="AE296" s="365"/>
      <c r="AF296" s="365"/>
      <c r="AI296" s="119" t="str">
        <f>"23:"&amp;IF(AND(I296="□",M296="□",Q296="□",U296="□"),"ketu_doctor_code:0",IF(I296="■","ketu_doctor_code:1:ketu_kangos_code:1:ketu_kshoku_code:1",
IF(M296="■","ketu_doctor_code:2","ketu_doctor_code:1")
&amp;IF(Q296="■",":ketu_kangos_code:2",":ketu_kangos_code:1")
&amp;IF(U296="■",":ketu_kshoku_code:2",":ketu_kshoku_code:1")))</f>
        <v>23:ketu_doctor_code:0</v>
      </c>
    </row>
    <row r="297" spans="1:36" s="119" customFormat="1" ht="18.75" customHeight="1" x14ac:dyDescent="0.15">
      <c r="A297" s="107"/>
      <c r="B297" s="108"/>
      <c r="C297" s="238"/>
      <c r="D297" s="239"/>
      <c r="E297" s="111"/>
      <c r="F297" s="112"/>
      <c r="G297" s="113"/>
      <c r="H297" s="230" t="s">
        <v>103</v>
      </c>
      <c r="I297" s="148" t="s">
        <v>348</v>
      </c>
      <c r="J297" s="149" t="s">
        <v>360</v>
      </c>
      <c r="K297" s="150"/>
      <c r="L297" s="151"/>
      <c r="M297" s="152" t="s">
        <v>348</v>
      </c>
      <c r="N297" s="149" t="s">
        <v>361</v>
      </c>
      <c r="O297" s="150"/>
      <c r="P297" s="150"/>
      <c r="Q297" s="150"/>
      <c r="R297" s="150"/>
      <c r="S297" s="150"/>
      <c r="T297" s="150"/>
      <c r="U297" s="150"/>
      <c r="V297" s="150"/>
      <c r="W297" s="150"/>
      <c r="X297" s="159"/>
      <c r="Y297" s="147"/>
      <c r="Z297" s="105"/>
      <c r="AA297" s="105"/>
      <c r="AB297" s="106"/>
      <c r="AC297" s="365"/>
      <c r="AD297" s="365"/>
      <c r="AE297" s="365"/>
      <c r="AF297" s="365"/>
      <c r="AI297" s="119" t="str">
        <f>"23:sintaikousoku_code:" &amp; IF(I297="■",1,IF(M297="■",2,0))</f>
        <v>23:sintaikousoku_code:0</v>
      </c>
    </row>
    <row r="298" spans="1:36" s="119" customFormat="1" ht="19.5" customHeight="1" x14ac:dyDescent="0.15">
      <c r="A298" s="107"/>
      <c r="B298" s="108"/>
      <c r="C298" s="109"/>
      <c r="D298" s="110"/>
      <c r="E298" s="111"/>
      <c r="F298" s="112"/>
      <c r="G298" s="113"/>
      <c r="H298" s="114" t="s">
        <v>369</v>
      </c>
      <c r="I298" s="148" t="s">
        <v>348</v>
      </c>
      <c r="J298" s="149" t="s">
        <v>360</v>
      </c>
      <c r="K298" s="150"/>
      <c r="L298" s="151"/>
      <c r="M298" s="152" t="s">
        <v>348</v>
      </c>
      <c r="N298" s="149" t="s">
        <v>370</v>
      </c>
      <c r="O298" s="153"/>
      <c r="P298" s="149"/>
      <c r="Q298" s="154"/>
      <c r="R298" s="154"/>
      <c r="S298" s="154"/>
      <c r="T298" s="154"/>
      <c r="U298" s="154"/>
      <c r="V298" s="154"/>
      <c r="W298" s="154"/>
      <c r="X298" s="155"/>
      <c r="Y298" s="105"/>
      <c r="Z298" s="105"/>
      <c r="AA298" s="105"/>
      <c r="AB298" s="106"/>
      <c r="AC298" s="365"/>
      <c r="AD298" s="365"/>
      <c r="AE298" s="365"/>
      <c r="AF298" s="365"/>
      <c r="AI298" s="119" t="str">
        <f>"23:field223:" &amp; IF(I298="■",1,IF(M298="■",2,0))</f>
        <v>23:field223:0</v>
      </c>
    </row>
    <row r="299" spans="1:36" s="119" customFormat="1" ht="19.5" customHeight="1" x14ac:dyDescent="0.15">
      <c r="A299" s="107"/>
      <c r="B299" s="108"/>
      <c r="C299" s="109"/>
      <c r="D299" s="110"/>
      <c r="E299" s="111"/>
      <c r="F299" s="112"/>
      <c r="G299" s="113"/>
      <c r="H299" s="114" t="s">
        <v>390</v>
      </c>
      <c r="I299" s="148" t="s">
        <v>348</v>
      </c>
      <c r="J299" s="149" t="s">
        <v>360</v>
      </c>
      <c r="K299" s="150"/>
      <c r="L299" s="151"/>
      <c r="M299" s="152" t="s">
        <v>348</v>
      </c>
      <c r="N299" s="149" t="s">
        <v>370</v>
      </c>
      <c r="O299" s="153"/>
      <c r="P299" s="149"/>
      <c r="Q299" s="154"/>
      <c r="R299" s="154"/>
      <c r="S299" s="154"/>
      <c r="T299" s="154"/>
      <c r="U299" s="154"/>
      <c r="V299" s="154"/>
      <c r="W299" s="154"/>
      <c r="X299" s="155"/>
      <c r="Y299" s="105"/>
      <c r="Z299" s="105"/>
      <c r="AA299" s="105"/>
      <c r="AB299" s="106"/>
      <c r="AC299" s="365"/>
      <c r="AD299" s="365"/>
      <c r="AE299" s="365"/>
      <c r="AF299" s="365"/>
      <c r="AI299" s="119" t="str">
        <f>"23:field232:" &amp; IF(I299="■",1,IF(M299="■",2,0))</f>
        <v>23:field232:0</v>
      </c>
    </row>
    <row r="300" spans="1:36" s="119" customFormat="1" ht="18.75" customHeight="1" x14ac:dyDescent="0.15">
      <c r="A300" s="107"/>
      <c r="B300" s="108"/>
      <c r="C300" s="109"/>
      <c r="D300" s="110"/>
      <c r="E300" s="113"/>
      <c r="F300" s="123" t="s">
        <v>348</v>
      </c>
      <c r="G300" s="111" t="s">
        <v>305</v>
      </c>
      <c r="H300" s="230" t="s">
        <v>173</v>
      </c>
      <c r="I300" s="148" t="s">
        <v>348</v>
      </c>
      <c r="J300" s="149" t="s">
        <v>265</v>
      </c>
      <c r="K300" s="150"/>
      <c r="L300" s="151"/>
      <c r="M300" s="152" t="s">
        <v>348</v>
      </c>
      <c r="N300" s="149" t="s">
        <v>297</v>
      </c>
      <c r="O300" s="196"/>
      <c r="P300" s="196"/>
      <c r="Q300" s="196"/>
      <c r="R300" s="196"/>
      <c r="S300" s="196"/>
      <c r="T300" s="196"/>
      <c r="U300" s="196"/>
      <c r="V300" s="196"/>
      <c r="W300" s="196"/>
      <c r="X300" s="197"/>
      <c r="Y300" s="147"/>
      <c r="Z300" s="105"/>
      <c r="AA300" s="105"/>
      <c r="AB300" s="106"/>
      <c r="AC300" s="365"/>
      <c r="AD300" s="365"/>
      <c r="AE300" s="365"/>
      <c r="AF300" s="365"/>
      <c r="AI300" s="119" t="str">
        <f>"23:ryokan_code:" &amp; IF(I300="■",1,IF(M300="■",2,0))</f>
        <v>23:ryokan_code:0</v>
      </c>
    </row>
    <row r="301" spans="1:36" s="119" customFormat="1" ht="18.75" customHeight="1" x14ac:dyDescent="0.15">
      <c r="A301" s="107"/>
      <c r="B301" s="108"/>
      <c r="C301" s="109"/>
      <c r="D301" s="110"/>
      <c r="E301" s="113"/>
      <c r="F301" s="110"/>
      <c r="G301" s="111" t="s">
        <v>306</v>
      </c>
      <c r="H301" s="230" t="s">
        <v>100</v>
      </c>
      <c r="I301" s="148" t="s">
        <v>348</v>
      </c>
      <c r="J301" s="149" t="s">
        <v>367</v>
      </c>
      <c r="K301" s="150"/>
      <c r="L301" s="151"/>
      <c r="M301" s="152" t="s">
        <v>348</v>
      </c>
      <c r="N301" s="149" t="s">
        <v>298</v>
      </c>
      <c r="O301" s="154"/>
      <c r="P301" s="154"/>
      <c r="Q301" s="154"/>
      <c r="R301" s="196"/>
      <c r="S301" s="154"/>
      <c r="T301" s="154"/>
      <c r="U301" s="154"/>
      <c r="V301" s="154"/>
      <c r="W301" s="154"/>
      <c r="X301" s="155"/>
      <c r="Y301" s="147"/>
      <c r="Z301" s="105"/>
      <c r="AA301" s="105"/>
      <c r="AB301" s="106"/>
      <c r="AC301" s="365"/>
      <c r="AD301" s="365"/>
      <c r="AE301" s="365"/>
      <c r="AF301" s="365"/>
      <c r="AI301" s="119" t="str">
        <f>"23:doctor_haiti_code:" &amp; IF(I301="■",1,IF(M301="■",2,0))</f>
        <v>23:doctor_haiti_code:0</v>
      </c>
    </row>
    <row r="302" spans="1:36" s="119" customFormat="1" ht="18.75" customHeight="1" x14ac:dyDescent="0.15">
      <c r="A302" s="107"/>
      <c r="B302" s="108"/>
      <c r="C302" s="109"/>
      <c r="D302" s="110"/>
      <c r="E302" s="113"/>
      <c r="F302" s="123" t="s">
        <v>348</v>
      </c>
      <c r="G302" s="111" t="s">
        <v>307</v>
      </c>
      <c r="H302" s="230" t="s">
        <v>104</v>
      </c>
      <c r="I302" s="148" t="s">
        <v>348</v>
      </c>
      <c r="J302" s="149" t="s">
        <v>216</v>
      </c>
      <c r="K302" s="150"/>
      <c r="L302" s="152" t="s">
        <v>348</v>
      </c>
      <c r="M302" s="149" t="s">
        <v>232</v>
      </c>
      <c r="N302" s="154"/>
      <c r="O302" s="154"/>
      <c r="P302" s="154"/>
      <c r="Q302" s="154"/>
      <c r="R302" s="154"/>
      <c r="S302" s="154"/>
      <c r="T302" s="154"/>
      <c r="U302" s="154"/>
      <c r="V302" s="154"/>
      <c r="W302" s="154"/>
      <c r="X302" s="155"/>
      <c r="Y302" s="147"/>
      <c r="Z302" s="105"/>
      <c r="AA302" s="105"/>
      <c r="AB302" s="106"/>
      <c r="AC302" s="365"/>
      <c r="AD302" s="365"/>
      <c r="AE302" s="365"/>
      <c r="AF302" s="365"/>
      <c r="AI302" s="119" t="str">
        <f>"23:jyakuninti_uke_code:" &amp; IF(I302="■",1,IF(L302="■",2,0))</f>
        <v>23:jyakuninti_uke_code:0</v>
      </c>
    </row>
    <row r="303" spans="1:36" s="119" customFormat="1" ht="18.75" customHeight="1" x14ac:dyDescent="0.15">
      <c r="A303" s="107"/>
      <c r="B303" s="108"/>
      <c r="C303" s="109"/>
      <c r="D303" s="110"/>
      <c r="E303" s="111"/>
      <c r="F303" s="110"/>
      <c r="G303" s="111" t="s">
        <v>308</v>
      </c>
      <c r="H303" s="230" t="s">
        <v>94</v>
      </c>
      <c r="I303" s="148" t="s">
        <v>348</v>
      </c>
      <c r="J303" s="149" t="s">
        <v>230</v>
      </c>
      <c r="K303" s="150"/>
      <c r="L303" s="151"/>
      <c r="M303" s="152" t="s">
        <v>348</v>
      </c>
      <c r="N303" s="149" t="s">
        <v>231</v>
      </c>
      <c r="O303" s="154"/>
      <c r="P303" s="154"/>
      <c r="Q303" s="154"/>
      <c r="R303" s="154"/>
      <c r="S303" s="154"/>
      <c r="T303" s="154"/>
      <c r="U303" s="154"/>
      <c r="V303" s="154"/>
      <c r="W303" s="154"/>
      <c r="X303" s="155"/>
      <c r="Y303" s="147"/>
      <c r="Z303" s="105"/>
      <c r="AA303" s="105"/>
      <c r="AB303" s="106"/>
      <c r="AC303" s="365"/>
      <c r="AD303" s="365"/>
      <c r="AE303" s="365"/>
      <c r="AF303" s="365"/>
      <c r="AI303" s="119" t="str">
        <f>"23:sougei_code:" &amp; IF(I303="■",1,IF(M303="■",2,0))</f>
        <v>23:sougei_code:0</v>
      </c>
    </row>
    <row r="304" spans="1:36" s="119" customFormat="1" ht="19.5" customHeight="1" x14ac:dyDescent="0.15">
      <c r="A304" s="107"/>
      <c r="B304" s="108"/>
      <c r="C304" s="109"/>
      <c r="D304" s="110"/>
      <c r="E304" s="113"/>
      <c r="F304" s="123" t="s">
        <v>348</v>
      </c>
      <c r="G304" s="111" t="s">
        <v>309</v>
      </c>
      <c r="H304" s="114" t="s">
        <v>372</v>
      </c>
      <c r="I304" s="148" t="s">
        <v>348</v>
      </c>
      <c r="J304" s="149" t="s">
        <v>216</v>
      </c>
      <c r="K304" s="149"/>
      <c r="L304" s="152" t="s">
        <v>348</v>
      </c>
      <c r="M304" s="149" t="s">
        <v>232</v>
      </c>
      <c r="N304" s="149"/>
      <c r="O304" s="154"/>
      <c r="P304" s="149"/>
      <c r="Q304" s="154"/>
      <c r="R304" s="154"/>
      <c r="S304" s="154"/>
      <c r="T304" s="154"/>
      <c r="U304" s="154"/>
      <c r="V304" s="154"/>
      <c r="W304" s="154"/>
      <c r="X304" s="155"/>
      <c r="Y304" s="105"/>
      <c r="Z304" s="105"/>
      <c r="AA304" s="105"/>
      <c r="AB304" s="106"/>
      <c r="AC304" s="365"/>
      <c r="AD304" s="365"/>
      <c r="AE304" s="365"/>
      <c r="AF304" s="365"/>
      <c r="AI304" s="119" t="str">
        <f>"23:field224:" &amp; IF(I304="■",1,IF(L304="■",2,0))</f>
        <v>23:field224:0</v>
      </c>
    </row>
    <row r="305" spans="1:36" s="119" customFormat="1" ht="18.75" customHeight="1" x14ac:dyDescent="0.15">
      <c r="A305" s="128" t="s">
        <v>348</v>
      </c>
      <c r="B305" s="108">
        <v>23</v>
      </c>
      <c r="C305" s="109" t="s">
        <v>172</v>
      </c>
      <c r="D305" s="123" t="s">
        <v>348</v>
      </c>
      <c r="E305" s="113" t="s">
        <v>315</v>
      </c>
      <c r="F305" s="110"/>
      <c r="G305" s="111" t="s">
        <v>310</v>
      </c>
      <c r="H305" s="230" t="s">
        <v>106</v>
      </c>
      <c r="I305" s="148" t="s">
        <v>348</v>
      </c>
      <c r="J305" s="149" t="s">
        <v>216</v>
      </c>
      <c r="K305" s="150"/>
      <c r="L305" s="152" t="s">
        <v>348</v>
      </c>
      <c r="M305" s="149" t="s">
        <v>232</v>
      </c>
      <c r="N305" s="154"/>
      <c r="O305" s="154"/>
      <c r="P305" s="154"/>
      <c r="Q305" s="154"/>
      <c r="R305" s="154"/>
      <c r="S305" s="154"/>
      <c r="T305" s="154"/>
      <c r="U305" s="154"/>
      <c r="V305" s="154"/>
      <c r="W305" s="154"/>
      <c r="X305" s="155"/>
      <c r="Y305" s="147"/>
      <c r="Z305" s="105"/>
      <c r="AA305" s="105"/>
      <c r="AB305" s="106"/>
      <c r="AC305" s="365"/>
      <c r="AD305" s="365"/>
      <c r="AE305" s="365"/>
      <c r="AF305" s="365"/>
      <c r="AI305" s="119" t="str">
        <f>"23:ryouyoushoku_code:" &amp; IF(I305="■",1,IF(L305="■",2,0))</f>
        <v>23:ryouyoushoku_code:0</v>
      </c>
    </row>
    <row r="306" spans="1:36" s="119" customFormat="1" ht="18.75" customHeight="1" x14ac:dyDescent="0.15">
      <c r="A306" s="107"/>
      <c r="B306" s="108"/>
      <c r="C306" s="109"/>
      <c r="D306" s="162"/>
      <c r="E306" s="113"/>
      <c r="F306" s="123" t="s">
        <v>348</v>
      </c>
      <c r="G306" s="111" t="s">
        <v>311</v>
      </c>
      <c r="H306" s="230" t="s">
        <v>165</v>
      </c>
      <c r="I306" s="148" t="s">
        <v>348</v>
      </c>
      <c r="J306" s="149" t="s">
        <v>216</v>
      </c>
      <c r="K306" s="149"/>
      <c r="L306" s="152" t="s">
        <v>348</v>
      </c>
      <c r="M306" s="149" t="s">
        <v>217</v>
      </c>
      <c r="N306" s="149"/>
      <c r="O306" s="152" t="s">
        <v>348</v>
      </c>
      <c r="P306" s="149" t="s">
        <v>218</v>
      </c>
      <c r="Q306" s="154"/>
      <c r="R306" s="154"/>
      <c r="S306" s="154"/>
      <c r="T306" s="154"/>
      <c r="U306" s="154"/>
      <c r="V306" s="154"/>
      <c r="W306" s="154"/>
      <c r="X306" s="155"/>
      <c r="Y306" s="147"/>
      <c r="Z306" s="105"/>
      <c r="AA306" s="105"/>
      <c r="AB306" s="106"/>
      <c r="AC306" s="365"/>
      <c r="AD306" s="365"/>
      <c r="AE306" s="365"/>
      <c r="AF306" s="365"/>
      <c r="AI306" s="119" t="str">
        <f>"23:ninti_senmoncare_code:" &amp; IF(I306="■",1,IF(O306="■",3,IF(L306="■",2,0)))</f>
        <v>23:ninti_senmoncare_code:0</v>
      </c>
    </row>
    <row r="307" spans="1:36" s="119" customFormat="1" ht="18.75" customHeight="1" x14ac:dyDescent="0.15">
      <c r="A307" s="107"/>
      <c r="B307" s="108"/>
      <c r="C307" s="109"/>
      <c r="D307" s="110"/>
      <c r="E307" s="113"/>
      <c r="F307" s="110"/>
      <c r="G307" s="111" t="s">
        <v>306</v>
      </c>
      <c r="H307" s="240" t="s">
        <v>385</v>
      </c>
      <c r="I307" s="148" t="s">
        <v>348</v>
      </c>
      <c r="J307" s="149" t="s">
        <v>216</v>
      </c>
      <c r="K307" s="149"/>
      <c r="L307" s="152" t="s">
        <v>348</v>
      </c>
      <c r="M307" s="149" t="s">
        <v>217</v>
      </c>
      <c r="N307" s="149"/>
      <c r="O307" s="152" t="s">
        <v>348</v>
      </c>
      <c r="P307" s="149" t="s">
        <v>218</v>
      </c>
      <c r="Q307" s="154"/>
      <c r="R307" s="154"/>
      <c r="S307" s="154"/>
      <c r="T307" s="154"/>
      <c r="U307" s="241"/>
      <c r="V307" s="241"/>
      <c r="W307" s="241"/>
      <c r="X307" s="242"/>
      <c r="Y307" s="147"/>
      <c r="Z307" s="105"/>
      <c r="AA307" s="105"/>
      <c r="AB307" s="106"/>
      <c r="AC307" s="365"/>
      <c r="AD307" s="365"/>
      <c r="AE307" s="365"/>
      <c r="AF307" s="365"/>
      <c r="AI307" s="119" t="str">
        <f>"23:field225:" &amp; IF(I307="■",1,IF(L307="■",2,IF(O307="■",3,0)))</f>
        <v>23:field225:0</v>
      </c>
    </row>
    <row r="308" spans="1:36" s="119" customFormat="1" ht="18.75" customHeight="1" x14ac:dyDescent="0.15">
      <c r="A308" s="107"/>
      <c r="B308" s="108"/>
      <c r="C308" s="109"/>
      <c r="D308" s="110"/>
      <c r="E308" s="113"/>
      <c r="F308" s="123" t="s">
        <v>348</v>
      </c>
      <c r="G308" s="111" t="s">
        <v>312</v>
      </c>
      <c r="H308" s="370" t="s">
        <v>101</v>
      </c>
      <c r="I308" s="194" t="s">
        <v>348</v>
      </c>
      <c r="J308" s="160" t="s">
        <v>285</v>
      </c>
      <c r="K308" s="160"/>
      <c r="L308" s="241"/>
      <c r="M308" s="241"/>
      <c r="N308" s="241"/>
      <c r="O308" s="241"/>
      <c r="P308" s="195" t="s">
        <v>348</v>
      </c>
      <c r="Q308" s="160" t="s">
        <v>286</v>
      </c>
      <c r="R308" s="241"/>
      <c r="S308" s="241"/>
      <c r="T308" s="241"/>
      <c r="U308" s="241"/>
      <c r="V308" s="241"/>
      <c r="W308" s="241"/>
      <c r="X308" s="242"/>
      <c r="Y308" s="147"/>
      <c r="Z308" s="105"/>
      <c r="AA308" s="105"/>
      <c r="AB308" s="106"/>
      <c r="AC308" s="365"/>
      <c r="AD308" s="365"/>
      <c r="AE308" s="365"/>
      <c r="AF308" s="365"/>
      <c r="AI308" s="119" t="str">
        <f>"23:" &amp; IF(AND(I308="□",P308="□",I309="□"),"tokusin_jyusho_code:0:tokusin_yakuzai_code:0:shuudan_comu_code:0",IF(I308="■","tokusin_jyusho_code:2","tokusin_jyusho_code:1")
&amp;IF(P308="■",":tokusin_yakuzai_code:2",":tokusin_yakuzai_code:1")
&amp;IF(I309="■",":shuudan_comu_code:2",":shuudan_comu_code:1"))</f>
        <v>23:tokusin_jyusho_code:0:tokusin_yakuzai_code:0:shuudan_comu_code:0</v>
      </c>
    </row>
    <row r="309" spans="1:36" s="119" customFormat="1" ht="18.75" customHeight="1" x14ac:dyDescent="0.15">
      <c r="A309" s="107"/>
      <c r="B309" s="108"/>
      <c r="C309" s="109"/>
      <c r="D309" s="110"/>
      <c r="E309" s="113"/>
      <c r="F309" s="110"/>
      <c r="G309" s="111" t="s">
        <v>313</v>
      </c>
      <c r="H309" s="371"/>
      <c r="I309" s="143" t="s">
        <v>348</v>
      </c>
      <c r="J309" s="115" t="s">
        <v>299</v>
      </c>
      <c r="K309" s="145"/>
      <c r="L309" s="145"/>
      <c r="M309" s="145"/>
      <c r="N309" s="145"/>
      <c r="O309" s="145"/>
      <c r="P309" s="145"/>
      <c r="Q309" s="144"/>
      <c r="R309" s="145"/>
      <c r="S309" s="145"/>
      <c r="T309" s="145"/>
      <c r="U309" s="145"/>
      <c r="V309" s="145"/>
      <c r="W309" s="145"/>
      <c r="X309" s="146"/>
      <c r="Y309" s="147"/>
      <c r="Z309" s="105"/>
      <c r="AA309" s="105"/>
      <c r="AB309" s="106"/>
      <c r="AC309" s="365"/>
      <c r="AD309" s="365"/>
      <c r="AE309" s="365"/>
      <c r="AF309" s="365"/>
    </row>
    <row r="310" spans="1:36" s="119" customFormat="1" ht="18.75" customHeight="1" x14ac:dyDescent="0.15">
      <c r="A310" s="107"/>
      <c r="B310" s="108"/>
      <c r="C310" s="109"/>
      <c r="D310" s="110"/>
      <c r="E310" s="113"/>
      <c r="F310" s="123" t="s">
        <v>348</v>
      </c>
      <c r="G310" s="111" t="s">
        <v>314</v>
      </c>
      <c r="H310" s="370" t="s">
        <v>386</v>
      </c>
      <c r="I310" s="194" t="s">
        <v>348</v>
      </c>
      <c r="J310" s="160" t="s">
        <v>300</v>
      </c>
      <c r="K310" s="168"/>
      <c r="L310" s="205"/>
      <c r="M310" s="195" t="s">
        <v>348</v>
      </c>
      <c r="N310" s="160" t="s">
        <v>301</v>
      </c>
      <c r="O310" s="241"/>
      <c r="P310" s="241"/>
      <c r="Q310" s="195" t="s">
        <v>348</v>
      </c>
      <c r="R310" s="160" t="s">
        <v>302</v>
      </c>
      <c r="S310" s="241"/>
      <c r="T310" s="241"/>
      <c r="U310" s="241"/>
      <c r="V310" s="241"/>
      <c r="W310" s="241"/>
      <c r="X310" s="242"/>
      <c r="Y310" s="147"/>
      <c r="Z310" s="105"/>
      <c r="AA310" s="105"/>
      <c r="AB310" s="106"/>
      <c r="AC310" s="365"/>
      <c r="AD310" s="365"/>
      <c r="AE310" s="365"/>
      <c r="AF310" s="365"/>
      <c r="AI310" s="119" t="str">
        <f>"23:"&amp;IF(AND(I310="□",M310="□",Q310="□",I311="□",Q311="□"),"koriha_rryoho1_code:0:koriha_sryoho_code:0:koriha_gengo_code:0:riha_seisin_code:0:koriha_other_code:0",IF(I310="■","koriha_rryoho1_code:2","koriha_rryoho1_code:1")
&amp;IF(M310="■",":koriha_sryoho_code:2",":koriha_sryoho_code:1")
&amp;IF(Q310="■",":koriha_gengo_code:2",":koriha_gengo_code:1")
&amp;IF(I311="■",":riha_seisin_code:2",":riha_seisin_code:1")
&amp;IF(Q311="■",":koriha_other_code:2",":koriha_other_code:1"))</f>
        <v>23:koriha_rryoho1_code:0:koriha_sryoho_code:0:koriha_gengo_code:0:riha_seisin_code:0:koriha_other_code:0</v>
      </c>
    </row>
    <row r="311" spans="1:36" s="119" customFormat="1" ht="18.75" customHeight="1" x14ac:dyDescent="0.15">
      <c r="A311" s="107"/>
      <c r="B311" s="108"/>
      <c r="C311" s="109"/>
      <c r="D311" s="110"/>
      <c r="E311" s="113"/>
      <c r="F311" s="112"/>
      <c r="G311" s="111"/>
      <c r="H311" s="371"/>
      <c r="I311" s="143" t="s">
        <v>348</v>
      </c>
      <c r="J311" s="115" t="s">
        <v>303</v>
      </c>
      <c r="K311" s="145"/>
      <c r="L311" s="145"/>
      <c r="M311" s="145"/>
      <c r="N311" s="145"/>
      <c r="O311" s="145"/>
      <c r="P311" s="145"/>
      <c r="Q311" s="191" t="s">
        <v>348</v>
      </c>
      <c r="R311" s="115" t="s">
        <v>304</v>
      </c>
      <c r="S311" s="144"/>
      <c r="T311" s="145"/>
      <c r="U311" s="145"/>
      <c r="V311" s="145"/>
      <c r="W311" s="145"/>
      <c r="X311" s="146"/>
      <c r="Y311" s="147"/>
      <c r="Z311" s="105"/>
      <c r="AA311" s="105"/>
      <c r="AB311" s="106"/>
      <c r="AC311" s="365"/>
      <c r="AD311" s="365"/>
      <c r="AE311" s="365"/>
      <c r="AF311" s="365"/>
    </row>
    <row r="312" spans="1:36" s="119" customFormat="1" ht="18.75" customHeight="1" x14ac:dyDescent="0.15">
      <c r="A312" s="107"/>
      <c r="B312" s="108"/>
      <c r="C312" s="109"/>
      <c r="D312" s="110"/>
      <c r="E312" s="113"/>
      <c r="F312" s="112"/>
      <c r="G312" s="111"/>
      <c r="H312" s="227" t="s">
        <v>111</v>
      </c>
      <c r="I312" s="148" t="s">
        <v>348</v>
      </c>
      <c r="J312" s="149" t="s">
        <v>216</v>
      </c>
      <c r="K312" s="149"/>
      <c r="L312" s="152" t="s">
        <v>348</v>
      </c>
      <c r="M312" s="149" t="s">
        <v>224</v>
      </c>
      <c r="N312" s="149"/>
      <c r="O312" s="152" t="s">
        <v>348</v>
      </c>
      <c r="P312" s="149" t="s">
        <v>225</v>
      </c>
      <c r="Q312" s="196"/>
      <c r="R312" s="152" t="s">
        <v>348</v>
      </c>
      <c r="S312" s="149" t="s">
        <v>248</v>
      </c>
      <c r="T312" s="196"/>
      <c r="U312" s="196"/>
      <c r="V312" s="196"/>
      <c r="W312" s="196"/>
      <c r="X312" s="197"/>
      <c r="Y312" s="147"/>
      <c r="Z312" s="105"/>
      <c r="AA312" s="105"/>
      <c r="AB312" s="106"/>
      <c r="AC312" s="365"/>
      <c r="AD312" s="365"/>
      <c r="AE312" s="365"/>
      <c r="AF312" s="365"/>
      <c r="AI312" s="119" t="str">
        <f>"23:serteikyo_kyoka_code:" &amp; IF(I312="■",1,IF(L312="■",6,IF(O312="■",5,IF(R312="■",7,0))))</f>
        <v>23:serteikyo_kyoka_code:0</v>
      </c>
    </row>
    <row r="313" spans="1:36" s="119" customFormat="1" ht="18.75" customHeight="1" x14ac:dyDescent="0.15">
      <c r="A313" s="107"/>
      <c r="B313" s="108"/>
      <c r="C313" s="109"/>
      <c r="D313" s="110"/>
      <c r="E313" s="113"/>
      <c r="F313" s="112"/>
      <c r="G313" s="111"/>
      <c r="H313" s="329" t="s">
        <v>409</v>
      </c>
      <c r="I313" s="358" t="s">
        <v>348</v>
      </c>
      <c r="J313" s="359" t="s">
        <v>216</v>
      </c>
      <c r="K313" s="359"/>
      <c r="L313" s="360" t="s">
        <v>348</v>
      </c>
      <c r="M313" s="359" t="s">
        <v>232</v>
      </c>
      <c r="N313" s="359"/>
      <c r="O313" s="160"/>
      <c r="P313" s="160"/>
      <c r="Q313" s="160"/>
      <c r="R313" s="160"/>
      <c r="S313" s="160"/>
      <c r="T313" s="160"/>
      <c r="U313" s="160"/>
      <c r="V313" s="160"/>
      <c r="W313" s="160"/>
      <c r="X313" s="163"/>
      <c r="Y313" s="147"/>
      <c r="Z313" s="105"/>
      <c r="AA313" s="105"/>
      <c r="AB313" s="106"/>
      <c r="AC313" s="365"/>
      <c r="AD313" s="365"/>
      <c r="AE313" s="365"/>
      <c r="AF313" s="365"/>
      <c r="AI313" s="119" t="str">
        <f>"23:field221:" &amp; IF(I313="■",1,IF(L313="■",2,0))</f>
        <v>23:field221:0</v>
      </c>
    </row>
    <row r="314" spans="1:36" s="119" customFormat="1" ht="18.75" customHeight="1" x14ac:dyDescent="0.15">
      <c r="A314" s="107"/>
      <c r="B314" s="108"/>
      <c r="C314" s="109"/>
      <c r="D314" s="110"/>
      <c r="E314" s="113"/>
      <c r="F314" s="112"/>
      <c r="G314" s="111"/>
      <c r="H314" s="328"/>
      <c r="I314" s="358"/>
      <c r="J314" s="359"/>
      <c r="K314" s="359"/>
      <c r="L314" s="360"/>
      <c r="M314" s="359"/>
      <c r="N314" s="359"/>
      <c r="O314" s="115"/>
      <c r="P314" s="115"/>
      <c r="Q314" s="115"/>
      <c r="R314" s="115"/>
      <c r="S314" s="115"/>
      <c r="T314" s="115"/>
      <c r="U314" s="115"/>
      <c r="V314" s="115"/>
      <c r="W314" s="115"/>
      <c r="X314" s="161"/>
      <c r="Y314" s="147"/>
      <c r="Z314" s="105"/>
      <c r="AA314" s="105"/>
      <c r="AB314" s="106"/>
      <c r="AC314" s="365"/>
      <c r="AD314" s="365"/>
      <c r="AE314" s="365"/>
      <c r="AF314" s="365"/>
    </row>
    <row r="315" spans="1:36" s="119" customFormat="1" ht="18.75" customHeight="1" x14ac:dyDescent="0.15">
      <c r="A315" s="107"/>
      <c r="B315" s="108"/>
      <c r="C315" s="109"/>
      <c r="D315" s="110"/>
      <c r="E315" s="111"/>
      <c r="F315" s="112"/>
      <c r="G315" s="111"/>
      <c r="H315" s="204" t="s">
        <v>405</v>
      </c>
      <c r="I315" s="194" t="s">
        <v>348</v>
      </c>
      <c r="J315" s="160" t="s">
        <v>216</v>
      </c>
      <c r="K315" s="160"/>
      <c r="L315" s="195" t="s">
        <v>348</v>
      </c>
      <c r="M315" s="160" t="s">
        <v>373</v>
      </c>
      <c r="N315" s="246"/>
      <c r="O315" s="195" t="s">
        <v>348</v>
      </c>
      <c r="P315" s="104" t="s">
        <v>374</v>
      </c>
      <c r="Q315" s="247"/>
      <c r="R315" s="195" t="s">
        <v>348</v>
      </c>
      <c r="S315" s="160" t="s">
        <v>375</v>
      </c>
      <c r="T315" s="247"/>
      <c r="U315" s="195" t="s">
        <v>348</v>
      </c>
      <c r="V315" s="160" t="s">
        <v>376</v>
      </c>
      <c r="W315" s="241"/>
      <c r="X315" s="242"/>
      <c r="Y315" s="105"/>
      <c r="Z315" s="105"/>
      <c r="AA315" s="105"/>
      <c r="AB315" s="106"/>
      <c r="AC315" s="365"/>
      <c r="AD315" s="365"/>
      <c r="AE315" s="365"/>
      <c r="AF315" s="365"/>
      <c r="AI315" s="119" t="str">
        <f>"23:shoguukaizen_code:"&amp;IF(I315="■",1,IF(L315="■",7,IF(O315="■",8,IF(R315="■",9,IF(U315="■","A",0)))))</f>
        <v>23:shoguukaizen_code:0</v>
      </c>
    </row>
    <row r="316" spans="1:36" s="119" customFormat="1" ht="18.75" customHeight="1" x14ac:dyDescent="0.15">
      <c r="A316" s="130"/>
      <c r="B316" s="131"/>
      <c r="C316" s="132"/>
      <c r="D316" s="133"/>
      <c r="E316" s="126"/>
      <c r="F316" s="134"/>
      <c r="G316" s="126"/>
      <c r="H316" s="340" t="s">
        <v>96</v>
      </c>
      <c r="I316" s="140" t="s">
        <v>348</v>
      </c>
      <c r="J316" s="124" t="s">
        <v>265</v>
      </c>
      <c r="K316" s="137"/>
      <c r="L316" s="231"/>
      <c r="M316" s="136" t="s">
        <v>348</v>
      </c>
      <c r="N316" s="124" t="s">
        <v>293</v>
      </c>
      <c r="O316" s="232"/>
      <c r="P316" s="232"/>
      <c r="Q316" s="136" t="s">
        <v>348</v>
      </c>
      <c r="R316" s="124" t="s">
        <v>294</v>
      </c>
      <c r="S316" s="232"/>
      <c r="T316" s="232"/>
      <c r="U316" s="136" t="s">
        <v>348</v>
      </c>
      <c r="V316" s="124" t="s">
        <v>295</v>
      </c>
      <c r="W316" s="232"/>
      <c r="X316" s="213"/>
      <c r="Y316" s="136" t="s">
        <v>348</v>
      </c>
      <c r="Z316" s="124" t="s">
        <v>215</v>
      </c>
      <c r="AA316" s="124"/>
      <c r="AB316" s="139"/>
      <c r="AC316" s="363"/>
      <c r="AD316" s="363"/>
      <c r="AE316" s="363"/>
      <c r="AF316" s="363"/>
      <c r="AG316" s="119" t="str">
        <f>"ser_code = '" &amp; IF(A327="■",23,"") &amp; "'"</f>
        <v>ser_code = ''</v>
      </c>
      <c r="AH316" s="119" t="str">
        <f>"23:jininkbn_code:" &amp; IF(F325="■",1,IF(F327="■",2,IF(F329="■",3,0)))</f>
        <v>23:jininkbn_code:0</v>
      </c>
      <c r="AI316" s="119" t="str">
        <f>"23:yakan_kinmu_code:" &amp; IF(I316="■",1,IF(M316="■",2,IF(Q316="■",3,IF(U316="■",7,IF(I317="■",5,IF(M317="■",6,0))))))</f>
        <v>23:yakan_kinmu_code:0</v>
      </c>
      <c r="AJ316" s="119" t="str">
        <f>"23:field203:" &amp; IF(Y316="■",1,IF(Y317="■",2,0))</f>
        <v>23:field203:0</v>
      </c>
    </row>
    <row r="317" spans="1:36" s="119" customFormat="1" ht="18.75" customHeight="1" x14ac:dyDescent="0.15">
      <c r="A317" s="107"/>
      <c r="B317" s="108"/>
      <c r="C317" s="109"/>
      <c r="D317" s="110"/>
      <c r="E317" s="111"/>
      <c r="F317" s="112"/>
      <c r="G317" s="111"/>
      <c r="H317" s="371"/>
      <c r="I317" s="143" t="s">
        <v>348</v>
      </c>
      <c r="J317" s="115" t="s">
        <v>296</v>
      </c>
      <c r="K317" s="166"/>
      <c r="L317" s="116"/>
      <c r="M317" s="191" t="s">
        <v>348</v>
      </c>
      <c r="N317" s="115" t="s">
        <v>266</v>
      </c>
      <c r="O317" s="144"/>
      <c r="P317" s="144"/>
      <c r="Q317" s="144"/>
      <c r="R317" s="144"/>
      <c r="S317" s="144"/>
      <c r="T317" s="144"/>
      <c r="U317" s="144"/>
      <c r="V317" s="144"/>
      <c r="W317" s="144"/>
      <c r="X317" s="226"/>
      <c r="Y317" s="123" t="s">
        <v>348</v>
      </c>
      <c r="Z317" s="104" t="s">
        <v>221</v>
      </c>
      <c r="AA317" s="105"/>
      <c r="AB317" s="106"/>
      <c r="AC317" s="364"/>
      <c r="AD317" s="364"/>
      <c r="AE317" s="364"/>
      <c r="AF317" s="364"/>
      <c r="AG317" s="119" t="str">
        <f>"23:sisetukbn_code:" &amp; IF(D327="■",6,0)</f>
        <v>23:sisetukbn_code:0</v>
      </c>
    </row>
    <row r="318" spans="1:36" s="119" customFormat="1" ht="18.75" customHeight="1" x14ac:dyDescent="0.15">
      <c r="A318" s="107"/>
      <c r="B318" s="108"/>
      <c r="C318" s="109"/>
      <c r="D318" s="110"/>
      <c r="E318" s="111"/>
      <c r="F318" s="112"/>
      <c r="G318" s="111"/>
      <c r="H318" s="230" t="s">
        <v>92</v>
      </c>
      <c r="I318" s="148" t="s">
        <v>348</v>
      </c>
      <c r="J318" s="149" t="s">
        <v>216</v>
      </c>
      <c r="K318" s="149"/>
      <c r="L318" s="151"/>
      <c r="M318" s="152" t="s">
        <v>348</v>
      </c>
      <c r="N318" s="149" t="s">
        <v>254</v>
      </c>
      <c r="O318" s="149"/>
      <c r="P318" s="151"/>
      <c r="Q318" s="152" t="s">
        <v>348</v>
      </c>
      <c r="R318" s="196" t="s">
        <v>255</v>
      </c>
      <c r="S318" s="196"/>
      <c r="T318" s="196"/>
      <c r="U318" s="152" t="s">
        <v>348</v>
      </c>
      <c r="V318" s="196" t="s">
        <v>256</v>
      </c>
      <c r="W318" s="154"/>
      <c r="X318" s="155"/>
      <c r="Y318" s="147"/>
      <c r="Z318" s="105"/>
      <c r="AA318" s="105"/>
      <c r="AB318" s="106"/>
      <c r="AC318" s="365"/>
      <c r="AD318" s="365"/>
      <c r="AE318" s="365"/>
      <c r="AF318" s="365"/>
      <c r="AI318" s="119" t="str">
        <f>"23:"&amp;IF(AND(I318="□",M318="□",Q318="□",U318="□"),"ketu_doctor_code:0",IF(I318="■","ketu_doctor_code:1:ketu_kangos_code:1:ketu_kshoku_code:1",
IF(M318="■","ketu_doctor_code:2","ketu_doctor_code:1")
&amp;IF(Q318="■",":ketu_kangos_code:2",":ketu_kangos_code:1")
&amp;IF(U318="■",":ketu_kshoku_code:2",":ketu_kshoku_code:1")))</f>
        <v>23:ketu_doctor_code:0</v>
      </c>
    </row>
    <row r="319" spans="1:36" s="119" customFormat="1" ht="18.75" customHeight="1" x14ac:dyDescent="0.15">
      <c r="A319" s="107"/>
      <c r="B319" s="108"/>
      <c r="C319" s="109"/>
      <c r="D319" s="110"/>
      <c r="E319" s="111"/>
      <c r="F319" s="112"/>
      <c r="G319" s="111"/>
      <c r="H319" s="230" t="s">
        <v>97</v>
      </c>
      <c r="I319" s="148" t="s">
        <v>348</v>
      </c>
      <c r="J319" s="149" t="s">
        <v>230</v>
      </c>
      <c r="K319" s="150"/>
      <c r="L319" s="151"/>
      <c r="M319" s="152" t="s">
        <v>348</v>
      </c>
      <c r="N319" s="149" t="s">
        <v>231</v>
      </c>
      <c r="O319" s="154"/>
      <c r="P319" s="154"/>
      <c r="Q319" s="154"/>
      <c r="R319" s="154"/>
      <c r="S319" s="154"/>
      <c r="T319" s="154"/>
      <c r="U319" s="154"/>
      <c r="V319" s="154"/>
      <c r="W319" s="154"/>
      <c r="X319" s="155"/>
      <c r="Y319" s="147"/>
      <c r="Z319" s="105"/>
      <c r="AA319" s="105"/>
      <c r="AB319" s="106"/>
      <c r="AC319" s="365"/>
      <c r="AD319" s="365"/>
      <c r="AE319" s="365"/>
      <c r="AF319" s="365"/>
      <c r="AI319" s="119" t="str">
        <f>"23:unitcare_code:" &amp; IF(I319="■",1,IF(M319="■",2,0))</f>
        <v>23:unitcare_code:0</v>
      </c>
    </row>
    <row r="320" spans="1:36" s="119" customFormat="1" ht="18.75" customHeight="1" x14ac:dyDescent="0.15">
      <c r="A320" s="107"/>
      <c r="B320" s="108"/>
      <c r="C320" s="238"/>
      <c r="D320" s="239"/>
      <c r="E320" s="111"/>
      <c r="F320" s="112"/>
      <c r="G320" s="113"/>
      <c r="H320" s="230" t="s">
        <v>103</v>
      </c>
      <c r="I320" s="148" t="s">
        <v>348</v>
      </c>
      <c r="J320" s="149" t="s">
        <v>360</v>
      </c>
      <c r="K320" s="150"/>
      <c r="L320" s="151"/>
      <c r="M320" s="152" t="s">
        <v>348</v>
      </c>
      <c r="N320" s="149" t="s">
        <v>361</v>
      </c>
      <c r="O320" s="150"/>
      <c r="P320" s="150"/>
      <c r="Q320" s="150"/>
      <c r="R320" s="150"/>
      <c r="S320" s="150"/>
      <c r="T320" s="150"/>
      <c r="U320" s="150"/>
      <c r="V320" s="150"/>
      <c r="W320" s="150"/>
      <c r="X320" s="159"/>
      <c r="Y320" s="147"/>
      <c r="Z320" s="105"/>
      <c r="AA320" s="105"/>
      <c r="AB320" s="106"/>
      <c r="AC320" s="365"/>
      <c r="AD320" s="365"/>
      <c r="AE320" s="365"/>
      <c r="AF320" s="365"/>
      <c r="AI320" s="119" t="str">
        <f>"23:sintaikousoku_code:" &amp; IF(I320="■",1,IF(M320="■",2,0))</f>
        <v>23:sintaikousoku_code:0</v>
      </c>
    </row>
    <row r="321" spans="1:35" s="119" customFormat="1" ht="19.5" customHeight="1" x14ac:dyDescent="0.15">
      <c r="A321" s="107"/>
      <c r="B321" s="108"/>
      <c r="C321" s="109"/>
      <c r="D321" s="110"/>
      <c r="E321" s="111"/>
      <c r="F321" s="112"/>
      <c r="G321" s="113"/>
      <c r="H321" s="114" t="s">
        <v>369</v>
      </c>
      <c r="I321" s="148" t="s">
        <v>348</v>
      </c>
      <c r="J321" s="149" t="s">
        <v>360</v>
      </c>
      <c r="K321" s="150"/>
      <c r="L321" s="151"/>
      <c r="M321" s="152" t="s">
        <v>348</v>
      </c>
      <c r="N321" s="149" t="s">
        <v>370</v>
      </c>
      <c r="O321" s="153"/>
      <c r="P321" s="149"/>
      <c r="Q321" s="154"/>
      <c r="R321" s="154"/>
      <c r="S321" s="154"/>
      <c r="T321" s="154"/>
      <c r="U321" s="154"/>
      <c r="V321" s="154"/>
      <c r="W321" s="154"/>
      <c r="X321" s="155"/>
      <c r="Y321" s="105"/>
      <c r="Z321" s="105"/>
      <c r="AA321" s="105"/>
      <c r="AB321" s="106"/>
      <c r="AC321" s="365"/>
      <c r="AD321" s="365"/>
      <c r="AE321" s="365"/>
      <c r="AF321" s="365"/>
      <c r="AI321" s="119" t="str">
        <f>"23:field223:" &amp; IF(I321="■",1,IF(M321="■",2,0))</f>
        <v>23:field223:0</v>
      </c>
    </row>
    <row r="322" spans="1:35" s="119" customFormat="1" ht="19.5" customHeight="1" x14ac:dyDescent="0.15">
      <c r="A322" s="107"/>
      <c r="B322" s="108"/>
      <c r="C322" s="109"/>
      <c r="D322" s="110"/>
      <c r="E322" s="111"/>
      <c r="F322" s="112"/>
      <c r="G322" s="113"/>
      <c r="H322" s="114" t="s">
        <v>390</v>
      </c>
      <c r="I322" s="148" t="s">
        <v>348</v>
      </c>
      <c r="J322" s="149" t="s">
        <v>360</v>
      </c>
      <c r="K322" s="150"/>
      <c r="L322" s="151"/>
      <c r="M322" s="152" t="s">
        <v>348</v>
      </c>
      <c r="N322" s="149" t="s">
        <v>370</v>
      </c>
      <c r="O322" s="153"/>
      <c r="P322" s="149"/>
      <c r="Q322" s="154"/>
      <c r="R322" s="154"/>
      <c r="S322" s="154"/>
      <c r="T322" s="154"/>
      <c r="U322" s="154"/>
      <c r="V322" s="154"/>
      <c r="W322" s="154"/>
      <c r="X322" s="155"/>
      <c r="Y322" s="105"/>
      <c r="Z322" s="105"/>
      <c r="AA322" s="105"/>
      <c r="AB322" s="106"/>
      <c r="AC322" s="365"/>
      <c r="AD322" s="365"/>
      <c r="AE322" s="365"/>
      <c r="AF322" s="365"/>
      <c r="AI322" s="119" t="str">
        <f>"23:field232:" &amp; IF(I322="■",1,IF(M322="■",2,0))</f>
        <v>23:field232:0</v>
      </c>
    </row>
    <row r="323" spans="1:35" s="119" customFormat="1" ht="18.75" customHeight="1" x14ac:dyDescent="0.15">
      <c r="A323" s="107"/>
      <c r="B323" s="108"/>
      <c r="C323" s="109"/>
      <c r="D323" s="110"/>
      <c r="E323" s="111"/>
      <c r="F323" s="112"/>
      <c r="G323" s="111"/>
      <c r="H323" s="230" t="s">
        <v>173</v>
      </c>
      <c r="I323" s="148" t="s">
        <v>348</v>
      </c>
      <c r="J323" s="149" t="s">
        <v>265</v>
      </c>
      <c r="K323" s="150"/>
      <c r="L323" s="151"/>
      <c r="M323" s="152" t="s">
        <v>348</v>
      </c>
      <c r="N323" s="149" t="s">
        <v>297</v>
      </c>
      <c r="O323" s="196"/>
      <c r="P323" s="196"/>
      <c r="Q323" s="196"/>
      <c r="R323" s="196"/>
      <c r="S323" s="154"/>
      <c r="T323" s="154"/>
      <c r="U323" s="154"/>
      <c r="V323" s="154"/>
      <c r="W323" s="154"/>
      <c r="X323" s="155"/>
      <c r="Y323" s="147"/>
      <c r="Z323" s="105"/>
      <c r="AA323" s="105"/>
      <c r="AB323" s="106"/>
      <c r="AC323" s="365"/>
      <c r="AD323" s="365"/>
      <c r="AE323" s="365"/>
      <c r="AF323" s="365"/>
      <c r="AI323" s="119" t="str">
        <f>"23:ryokan_code:" &amp; IF(I323="■",1,IF(M323="■",2,0))</f>
        <v>23:ryokan_code:0</v>
      </c>
    </row>
    <row r="324" spans="1:35" s="119" customFormat="1" ht="18.75" customHeight="1" x14ac:dyDescent="0.15">
      <c r="A324" s="107"/>
      <c r="B324" s="108"/>
      <c r="C324" s="109"/>
      <c r="D324" s="110"/>
      <c r="E324" s="111"/>
      <c r="F324" s="112"/>
      <c r="G324" s="111"/>
      <c r="H324" s="230" t="s">
        <v>100</v>
      </c>
      <c r="I324" s="148" t="s">
        <v>348</v>
      </c>
      <c r="J324" s="149" t="s">
        <v>367</v>
      </c>
      <c r="K324" s="150"/>
      <c r="L324" s="151"/>
      <c r="M324" s="152" t="s">
        <v>348</v>
      </c>
      <c r="N324" s="149" t="s">
        <v>298</v>
      </c>
      <c r="O324" s="154"/>
      <c r="P324" s="154"/>
      <c r="Q324" s="154"/>
      <c r="R324" s="196"/>
      <c r="S324" s="154"/>
      <c r="T324" s="154"/>
      <c r="U324" s="154"/>
      <c r="V324" s="154"/>
      <c r="W324" s="154"/>
      <c r="X324" s="155"/>
      <c r="Y324" s="147"/>
      <c r="Z324" s="105"/>
      <c r="AA324" s="105"/>
      <c r="AB324" s="106"/>
      <c r="AC324" s="365"/>
      <c r="AD324" s="365"/>
      <c r="AE324" s="365"/>
      <c r="AF324" s="365"/>
      <c r="AI324" s="119" t="str">
        <f>"23:doctor_haiti_code:" &amp; IF(I324="■",1,IF(M324="■",2,0))</f>
        <v>23:doctor_haiti_code:0</v>
      </c>
    </row>
    <row r="325" spans="1:35" s="119" customFormat="1" ht="18.75" customHeight="1" x14ac:dyDescent="0.15">
      <c r="A325" s="107"/>
      <c r="B325" s="108"/>
      <c r="C325" s="109"/>
      <c r="D325" s="110"/>
      <c r="E325" s="111"/>
      <c r="F325" s="123" t="s">
        <v>348</v>
      </c>
      <c r="G325" s="111" t="s">
        <v>316</v>
      </c>
      <c r="H325" s="230" t="s">
        <v>104</v>
      </c>
      <c r="I325" s="148" t="s">
        <v>348</v>
      </c>
      <c r="J325" s="149" t="s">
        <v>216</v>
      </c>
      <c r="K325" s="150"/>
      <c r="L325" s="152" t="s">
        <v>348</v>
      </c>
      <c r="M325" s="149" t="s">
        <v>232</v>
      </c>
      <c r="N325" s="154"/>
      <c r="O325" s="154"/>
      <c r="P325" s="154"/>
      <c r="Q325" s="154"/>
      <c r="R325" s="154"/>
      <c r="S325" s="154"/>
      <c r="T325" s="154"/>
      <c r="U325" s="154"/>
      <c r="V325" s="154"/>
      <c r="W325" s="154"/>
      <c r="X325" s="155"/>
      <c r="Y325" s="147"/>
      <c r="Z325" s="105"/>
      <c r="AA325" s="105"/>
      <c r="AB325" s="106"/>
      <c r="AC325" s="365"/>
      <c r="AD325" s="365"/>
      <c r="AE325" s="365"/>
      <c r="AF325" s="365"/>
      <c r="AI325" s="119" t="str">
        <f>"23:jyakuninti_uke_code:" &amp; IF(I325="■",1,IF(L325="■",2,0))</f>
        <v>23:jyakuninti_uke_code:0</v>
      </c>
    </row>
    <row r="326" spans="1:35" s="119" customFormat="1" ht="18.75" customHeight="1" x14ac:dyDescent="0.15">
      <c r="A326" s="107"/>
      <c r="B326" s="108"/>
      <c r="C326" s="109"/>
      <c r="D326" s="110"/>
      <c r="E326" s="111"/>
      <c r="F326" s="110"/>
      <c r="G326" s="111" t="s">
        <v>317</v>
      </c>
      <c r="H326" s="230" t="s">
        <v>94</v>
      </c>
      <c r="I326" s="148" t="s">
        <v>348</v>
      </c>
      <c r="J326" s="149" t="s">
        <v>230</v>
      </c>
      <c r="K326" s="150"/>
      <c r="L326" s="151"/>
      <c r="M326" s="152" t="s">
        <v>348</v>
      </c>
      <c r="N326" s="149" t="s">
        <v>231</v>
      </c>
      <c r="O326" s="154"/>
      <c r="P326" s="154"/>
      <c r="Q326" s="154"/>
      <c r="R326" s="154"/>
      <c r="S326" s="154"/>
      <c r="T326" s="154"/>
      <c r="U326" s="154"/>
      <c r="V326" s="154"/>
      <c r="W326" s="154"/>
      <c r="X326" s="155"/>
      <c r="Y326" s="147"/>
      <c r="Z326" s="105"/>
      <c r="AA326" s="105"/>
      <c r="AB326" s="106"/>
      <c r="AC326" s="365"/>
      <c r="AD326" s="365"/>
      <c r="AE326" s="365"/>
      <c r="AF326" s="365"/>
      <c r="AI326" s="119" t="str">
        <f>"23:sougei_code:" &amp; IF(I326="■",1,IF(M326="■",2,0))</f>
        <v>23:sougei_code:0</v>
      </c>
    </row>
    <row r="327" spans="1:35" s="119" customFormat="1" ht="19.5" customHeight="1" x14ac:dyDescent="0.15">
      <c r="A327" s="128" t="s">
        <v>348</v>
      </c>
      <c r="B327" s="108">
        <v>23</v>
      </c>
      <c r="C327" s="109" t="s">
        <v>172</v>
      </c>
      <c r="D327" s="123" t="s">
        <v>348</v>
      </c>
      <c r="E327" s="111" t="s">
        <v>322</v>
      </c>
      <c r="F327" s="123" t="s">
        <v>348</v>
      </c>
      <c r="G327" s="111" t="s">
        <v>318</v>
      </c>
      <c r="H327" s="114" t="s">
        <v>372</v>
      </c>
      <c r="I327" s="148" t="s">
        <v>348</v>
      </c>
      <c r="J327" s="149" t="s">
        <v>216</v>
      </c>
      <c r="K327" s="149"/>
      <c r="L327" s="152" t="s">
        <v>348</v>
      </c>
      <c r="M327" s="149" t="s">
        <v>232</v>
      </c>
      <c r="N327" s="149"/>
      <c r="O327" s="154"/>
      <c r="P327" s="149"/>
      <c r="Q327" s="154"/>
      <c r="R327" s="154"/>
      <c r="S327" s="154"/>
      <c r="T327" s="154"/>
      <c r="U327" s="154"/>
      <c r="V327" s="154"/>
      <c r="W327" s="154"/>
      <c r="X327" s="155"/>
      <c r="Y327" s="105"/>
      <c r="Z327" s="105"/>
      <c r="AA327" s="105"/>
      <c r="AB327" s="106"/>
      <c r="AC327" s="365"/>
      <c r="AD327" s="365"/>
      <c r="AE327" s="365"/>
      <c r="AF327" s="365"/>
      <c r="AI327" s="119" t="str">
        <f>"23:field224:" &amp; IF(I327="■",1,IF(L327="■",2,0))</f>
        <v>23:field224:0</v>
      </c>
    </row>
    <row r="328" spans="1:35" s="119" customFormat="1" ht="18.75" customHeight="1" x14ac:dyDescent="0.15">
      <c r="A328" s="107"/>
      <c r="B328" s="108"/>
      <c r="C328" s="109"/>
      <c r="D328" s="110"/>
      <c r="E328" s="111"/>
      <c r="F328" s="110"/>
      <c r="G328" s="111" t="s">
        <v>319</v>
      </c>
      <c r="H328" s="230" t="s">
        <v>106</v>
      </c>
      <c r="I328" s="148" t="s">
        <v>348</v>
      </c>
      <c r="J328" s="149" t="s">
        <v>216</v>
      </c>
      <c r="K328" s="150"/>
      <c r="L328" s="152" t="s">
        <v>348</v>
      </c>
      <c r="M328" s="149" t="s">
        <v>232</v>
      </c>
      <c r="N328" s="154"/>
      <c r="O328" s="154"/>
      <c r="P328" s="154"/>
      <c r="Q328" s="154"/>
      <c r="R328" s="154"/>
      <c r="S328" s="154"/>
      <c r="T328" s="154"/>
      <c r="U328" s="154"/>
      <c r="V328" s="154"/>
      <c r="W328" s="154"/>
      <c r="X328" s="155"/>
      <c r="Y328" s="147"/>
      <c r="Z328" s="105"/>
      <c r="AA328" s="105"/>
      <c r="AB328" s="106"/>
      <c r="AC328" s="365"/>
      <c r="AD328" s="365"/>
      <c r="AE328" s="365"/>
      <c r="AF328" s="365"/>
      <c r="AI328" s="119" t="str">
        <f>"23:ryouyoushoku_code:" &amp; IF(I328="■",1,IF(L328="■",2,0))</f>
        <v>23:ryouyoushoku_code:0</v>
      </c>
    </row>
    <row r="329" spans="1:35" s="119" customFormat="1" ht="18.75" customHeight="1" x14ac:dyDescent="0.15">
      <c r="A329" s="107"/>
      <c r="B329" s="108"/>
      <c r="C329" s="109"/>
      <c r="D329" s="110"/>
      <c r="E329" s="111"/>
      <c r="F329" s="123" t="s">
        <v>348</v>
      </c>
      <c r="G329" s="111" t="s">
        <v>320</v>
      </c>
      <c r="H329" s="230" t="s">
        <v>165</v>
      </c>
      <c r="I329" s="148" t="s">
        <v>348</v>
      </c>
      <c r="J329" s="149" t="s">
        <v>216</v>
      </c>
      <c r="K329" s="149"/>
      <c r="L329" s="152" t="s">
        <v>348</v>
      </c>
      <c r="M329" s="149" t="s">
        <v>217</v>
      </c>
      <c r="N329" s="149"/>
      <c r="O329" s="152" t="s">
        <v>348</v>
      </c>
      <c r="P329" s="149" t="s">
        <v>218</v>
      </c>
      <c r="Q329" s="154"/>
      <c r="R329" s="154"/>
      <c r="S329" s="154"/>
      <c r="T329" s="154"/>
      <c r="U329" s="154"/>
      <c r="V329" s="154"/>
      <c r="W329" s="154"/>
      <c r="X329" s="155"/>
      <c r="Y329" s="147"/>
      <c r="Z329" s="105"/>
      <c r="AA329" s="105"/>
      <c r="AB329" s="106"/>
      <c r="AC329" s="365"/>
      <c r="AD329" s="365"/>
      <c r="AE329" s="365"/>
      <c r="AF329" s="365"/>
      <c r="AI329" s="119" t="str">
        <f>"23:ninti_senmoncare_code:" &amp; IF(I329="■",1,IF(O329="■",3,IF(L329="■",2,0)))</f>
        <v>23:ninti_senmoncare_code:0</v>
      </c>
    </row>
    <row r="330" spans="1:35" s="119" customFormat="1" ht="18.75" customHeight="1" x14ac:dyDescent="0.15">
      <c r="A330" s="107"/>
      <c r="B330" s="108"/>
      <c r="C330" s="109"/>
      <c r="D330" s="110"/>
      <c r="E330" s="111"/>
      <c r="F330" s="110"/>
      <c r="G330" s="111" t="s">
        <v>321</v>
      </c>
      <c r="H330" s="240" t="s">
        <v>385</v>
      </c>
      <c r="I330" s="148" t="s">
        <v>348</v>
      </c>
      <c r="J330" s="149" t="s">
        <v>216</v>
      </c>
      <c r="K330" s="149"/>
      <c r="L330" s="152" t="s">
        <v>348</v>
      </c>
      <c r="M330" s="149" t="s">
        <v>217</v>
      </c>
      <c r="N330" s="149"/>
      <c r="O330" s="152" t="s">
        <v>348</v>
      </c>
      <c r="P330" s="149" t="s">
        <v>218</v>
      </c>
      <c r="Q330" s="154"/>
      <c r="R330" s="154"/>
      <c r="S330" s="154"/>
      <c r="T330" s="154"/>
      <c r="U330" s="241"/>
      <c r="V330" s="241"/>
      <c r="W330" s="241"/>
      <c r="X330" s="242"/>
      <c r="Y330" s="147"/>
      <c r="Z330" s="105"/>
      <c r="AA330" s="105"/>
      <c r="AB330" s="106"/>
      <c r="AC330" s="365"/>
      <c r="AD330" s="365"/>
      <c r="AE330" s="365"/>
      <c r="AF330" s="365"/>
      <c r="AI330" s="119" t="str">
        <f>"23:field225:" &amp; IF(I330="■",1,IF(L330="■",2,IF(O330="■",3,0)))</f>
        <v>23:field225:0</v>
      </c>
    </row>
    <row r="331" spans="1:35" s="119" customFormat="1" ht="18.75" customHeight="1" x14ac:dyDescent="0.15">
      <c r="A331" s="107"/>
      <c r="B331" s="108"/>
      <c r="C331" s="109"/>
      <c r="D331" s="110"/>
      <c r="E331" s="111"/>
      <c r="F331" s="110"/>
      <c r="G331" s="111"/>
      <c r="H331" s="370" t="s">
        <v>101</v>
      </c>
      <c r="I331" s="194" t="s">
        <v>348</v>
      </c>
      <c r="J331" s="160" t="s">
        <v>285</v>
      </c>
      <c r="K331" s="160"/>
      <c r="L331" s="241"/>
      <c r="M331" s="241"/>
      <c r="N331" s="241"/>
      <c r="O331" s="241"/>
      <c r="P331" s="195" t="s">
        <v>348</v>
      </c>
      <c r="Q331" s="160" t="s">
        <v>286</v>
      </c>
      <c r="R331" s="241"/>
      <c r="S331" s="241"/>
      <c r="T331" s="241"/>
      <c r="U331" s="241"/>
      <c r="V331" s="241"/>
      <c r="W331" s="241"/>
      <c r="X331" s="242"/>
      <c r="Y331" s="147"/>
      <c r="Z331" s="105"/>
      <c r="AA331" s="105"/>
      <c r="AB331" s="106"/>
      <c r="AC331" s="365"/>
      <c r="AD331" s="365"/>
      <c r="AE331" s="365"/>
      <c r="AF331" s="365"/>
      <c r="AI331" s="119" t="str">
        <f>"23:" &amp; IF(AND(I331="□",P331="□",I332="□"),"tokusin_jyusho_code:0:tokusin_yakuzai_code:0:shuudan_comu_code:0",IF(I331="■","tokusin_jyusho_code:2","tokusin_jyusho_code:1")
&amp;IF(P331="■",":tokusin_yakuzai_code:2",":tokusin_yakuzai_code:1")
&amp;IF(I332="■",":shuudan_comu_code:2",":shuudan_comu_code:1"))</f>
        <v>23:tokusin_jyusho_code:0:tokusin_yakuzai_code:0:shuudan_comu_code:0</v>
      </c>
    </row>
    <row r="332" spans="1:35" s="119" customFormat="1" ht="18.75" customHeight="1" x14ac:dyDescent="0.15">
      <c r="A332" s="107"/>
      <c r="B332" s="108"/>
      <c r="C332" s="109"/>
      <c r="D332" s="110"/>
      <c r="E332" s="111"/>
      <c r="F332" s="110"/>
      <c r="G332" s="111"/>
      <c r="H332" s="371"/>
      <c r="I332" s="143" t="s">
        <v>348</v>
      </c>
      <c r="J332" s="115" t="s">
        <v>299</v>
      </c>
      <c r="K332" s="145"/>
      <c r="L332" s="145"/>
      <c r="M332" s="145"/>
      <c r="N332" s="145"/>
      <c r="O332" s="145"/>
      <c r="P332" s="145"/>
      <c r="Q332" s="144"/>
      <c r="R332" s="145"/>
      <c r="S332" s="145"/>
      <c r="T332" s="145"/>
      <c r="U332" s="145"/>
      <c r="V332" s="145"/>
      <c r="W332" s="145"/>
      <c r="X332" s="146"/>
      <c r="Y332" s="147"/>
      <c r="Z332" s="105"/>
      <c r="AA332" s="105"/>
      <c r="AB332" s="106"/>
      <c r="AC332" s="365"/>
      <c r="AD332" s="365"/>
      <c r="AE332" s="365"/>
      <c r="AF332" s="365"/>
    </row>
    <row r="333" spans="1:35" s="119" customFormat="1" ht="18.75" customHeight="1" x14ac:dyDescent="0.15">
      <c r="A333" s="107"/>
      <c r="B333" s="108"/>
      <c r="C333" s="109"/>
      <c r="D333" s="110"/>
      <c r="E333" s="111"/>
      <c r="F333" s="110"/>
      <c r="G333" s="111"/>
      <c r="H333" s="370" t="s">
        <v>102</v>
      </c>
      <c r="I333" s="194" t="s">
        <v>348</v>
      </c>
      <c r="J333" s="160" t="s">
        <v>300</v>
      </c>
      <c r="K333" s="168"/>
      <c r="L333" s="205"/>
      <c r="M333" s="195" t="s">
        <v>348</v>
      </c>
      <c r="N333" s="160" t="s">
        <v>301</v>
      </c>
      <c r="O333" s="241"/>
      <c r="P333" s="241"/>
      <c r="Q333" s="195" t="s">
        <v>348</v>
      </c>
      <c r="R333" s="160" t="s">
        <v>302</v>
      </c>
      <c r="S333" s="241"/>
      <c r="T333" s="241"/>
      <c r="U333" s="241"/>
      <c r="V333" s="241"/>
      <c r="W333" s="241"/>
      <c r="X333" s="242"/>
      <c r="Y333" s="147"/>
      <c r="Z333" s="105"/>
      <c r="AA333" s="105"/>
      <c r="AB333" s="106"/>
      <c r="AC333" s="365"/>
      <c r="AD333" s="365"/>
      <c r="AE333" s="365"/>
      <c r="AF333" s="365"/>
      <c r="AI333" s="119" t="str">
        <f>"23:"&amp;IF(AND(I333="□",M333="□",Q333="□",I334="□",Q334="□"),"koriha_rryoho1_code:0:koriha_sryoho_code:0:koriha_gengo_code:0:riha_seisin_code:0:koriha_other_code:0",IF(I333="■","koriha_rryoho1_code:2","koriha_rryoho1_code:1")
&amp;IF(M333="■",":koriha_sryoho_code:2",":koriha_sryoho_code:1")
&amp;IF(Q333="■",":koriha_gengo_code:2",":koriha_gengo_code:1")
&amp;IF(I334="■",":riha_seisin_code:2",":riha_seisin_code:1")
&amp;IF(Q334="■",":koriha_other_code:2",":koriha_other_code:1"))</f>
        <v>23:koriha_rryoho1_code:0:koriha_sryoho_code:0:koriha_gengo_code:0:riha_seisin_code:0:koriha_other_code:0</v>
      </c>
    </row>
    <row r="334" spans="1:35" s="119" customFormat="1" ht="18.75" customHeight="1" x14ac:dyDescent="0.15">
      <c r="A334" s="107"/>
      <c r="B334" s="108"/>
      <c r="C334" s="109"/>
      <c r="D334" s="110"/>
      <c r="E334" s="111"/>
      <c r="F334" s="110"/>
      <c r="G334" s="111"/>
      <c r="H334" s="371"/>
      <c r="I334" s="143" t="s">
        <v>348</v>
      </c>
      <c r="J334" s="115" t="s">
        <v>303</v>
      </c>
      <c r="K334" s="145"/>
      <c r="L334" s="145"/>
      <c r="M334" s="145"/>
      <c r="N334" s="145"/>
      <c r="O334" s="145"/>
      <c r="P334" s="145"/>
      <c r="Q334" s="191" t="s">
        <v>348</v>
      </c>
      <c r="R334" s="115" t="s">
        <v>304</v>
      </c>
      <c r="S334" s="144"/>
      <c r="T334" s="145"/>
      <c r="U334" s="145"/>
      <c r="V334" s="145"/>
      <c r="W334" s="145"/>
      <c r="X334" s="146"/>
      <c r="Y334" s="147"/>
      <c r="Z334" s="105"/>
      <c r="AA334" s="105"/>
      <c r="AB334" s="106"/>
      <c r="AC334" s="365"/>
      <c r="AD334" s="365"/>
      <c r="AE334" s="365"/>
      <c r="AF334" s="365"/>
    </row>
    <row r="335" spans="1:35" s="119" customFormat="1" ht="18.75" customHeight="1" x14ac:dyDescent="0.15">
      <c r="A335" s="107"/>
      <c r="B335" s="108"/>
      <c r="C335" s="109"/>
      <c r="D335" s="110"/>
      <c r="E335" s="111"/>
      <c r="F335" s="110"/>
      <c r="G335" s="111"/>
      <c r="H335" s="227" t="s">
        <v>111</v>
      </c>
      <c r="I335" s="148" t="s">
        <v>348</v>
      </c>
      <c r="J335" s="149" t="s">
        <v>216</v>
      </c>
      <c r="K335" s="149"/>
      <c r="L335" s="152" t="s">
        <v>348</v>
      </c>
      <c r="M335" s="149" t="s">
        <v>224</v>
      </c>
      <c r="N335" s="149"/>
      <c r="O335" s="152" t="s">
        <v>348</v>
      </c>
      <c r="P335" s="149" t="s">
        <v>225</v>
      </c>
      <c r="Q335" s="196"/>
      <c r="R335" s="152" t="s">
        <v>348</v>
      </c>
      <c r="S335" s="149" t="s">
        <v>248</v>
      </c>
      <c r="T335" s="196"/>
      <c r="U335" s="196"/>
      <c r="V335" s="196"/>
      <c r="W335" s="196"/>
      <c r="X335" s="197"/>
      <c r="Y335" s="147"/>
      <c r="Z335" s="105"/>
      <c r="AA335" s="105"/>
      <c r="AB335" s="106"/>
      <c r="AC335" s="365"/>
      <c r="AD335" s="365"/>
      <c r="AE335" s="365"/>
      <c r="AF335" s="365"/>
      <c r="AI335" s="119" t="str">
        <f>"23:serteikyo_kyoka_code:" &amp; IF(I335="■",1,IF(L335="■",6,IF(O335="■",5,IF(R335="■",7,0))))</f>
        <v>23:serteikyo_kyoka_code:0</v>
      </c>
    </row>
    <row r="336" spans="1:35" s="119" customFormat="1" ht="18.75" customHeight="1" x14ac:dyDescent="0.15">
      <c r="A336" s="107"/>
      <c r="B336" s="108"/>
      <c r="C336" s="109"/>
      <c r="D336" s="110"/>
      <c r="E336" s="111"/>
      <c r="F336" s="110"/>
      <c r="G336" s="111"/>
      <c r="H336" s="329" t="s">
        <v>409</v>
      </c>
      <c r="I336" s="358" t="s">
        <v>348</v>
      </c>
      <c r="J336" s="359" t="s">
        <v>216</v>
      </c>
      <c r="K336" s="359"/>
      <c r="L336" s="360" t="s">
        <v>348</v>
      </c>
      <c r="M336" s="359" t="s">
        <v>232</v>
      </c>
      <c r="N336" s="359"/>
      <c r="O336" s="160"/>
      <c r="P336" s="160"/>
      <c r="Q336" s="160"/>
      <c r="R336" s="160"/>
      <c r="S336" s="160"/>
      <c r="T336" s="160"/>
      <c r="U336" s="160"/>
      <c r="V336" s="160"/>
      <c r="W336" s="160"/>
      <c r="X336" s="163"/>
      <c r="Y336" s="147"/>
      <c r="Z336" s="105"/>
      <c r="AA336" s="105"/>
      <c r="AB336" s="106"/>
      <c r="AC336" s="365"/>
      <c r="AD336" s="365"/>
      <c r="AE336" s="365"/>
      <c r="AF336" s="365"/>
      <c r="AI336" s="119" t="str">
        <f>"23:field221:" &amp; IF(I336="■",1,IF(L336="■",2,0))</f>
        <v>23:field221:0</v>
      </c>
    </row>
    <row r="337" spans="1:36" s="119" customFormat="1" ht="18.75" customHeight="1" x14ac:dyDescent="0.15">
      <c r="A337" s="107"/>
      <c r="B337" s="108"/>
      <c r="C337" s="109"/>
      <c r="D337" s="110"/>
      <c r="E337" s="111"/>
      <c r="F337" s="110"/>
      <c r="G337" s="111"/>
      <c r="H337" s="328"/>
      <c r="I337" s="358"/>
      <c r="J337" s="359"/>
      <c r="K337" s="359"/>
      <c r="L337" s="360"/>
      <c r="M337" s="359"/>
      <c r="N337" s="359"/>
      <c r="O337" s="115"/>
      <c r="P337" s="115"/>
      <c r="Q337" s="115"/>
      <c r="R337" s="115"/>
      <c r="S337" s="115"/>
      <c r="T337" s="115"/>
      <c r="U337" s="115"/>
      <c r="V337" s="115"/>
      <c r="W337" s="115"/>
      <c r="X337" s="161"/>
      <c r="Y337" s="147"/>
      <c r="Z337" s="105"/>
      <c r="AA337" s="105"/>
      <c r="AB337" s="106"/>
      <c r="AC337" s="365"/>
      <c r="AD337" s="365"/>
      <c r="AE337" s="365"/>
      <c r="AF337" s="365"/>
    </row>
    <row r="338" spans="1:36" s="119" customFormat="1" ht="18.75" customHeight="1" x14ac:dyDescent="0.15">
      <c r="A338" s="170"/>
      <c r="B338" s="171"/>
      <c r="C338" s="172"/>
      <c r="D338" s="173"/>
      <c r="E338" s="174"/>
      <c r="F338" s="173"/>
      <c r="G338" s="176"/>
      <c r="H338" s="95" t="s">
        <v>405</v>
      </c>
      <c r="I338" s="177" t="s">
        <v>348</v>
      </c>
      <c r="J338" s="96" t="s">
        <v>216</v>
      </c>
      <c r="K338" s="96"/>
      <c r="L338" s="178" t="s">
        <v>348</v>
      </c>
      <c r="M338" s="96" t="s">
        <v>373</v>
      </c>
      <c r="N338" s="97"/>
      <c r="O338" s="178" t="s">
        <v>348</v>
      </c>
      <c r="P338" s="99" t="s">
        <v>374</v>
      </c>
      <c r="Q338" s="98"/>
      <c r="R338" s="178" t="s">
        <v>348</v>
      </c>
      <c r="S338" s="96" t="s">
        <v>375</v>
      </c>
      <c r="T338" s="98"/>
      <c r="U338" s="178" t="s">
        <v>348</v>
      </c>
      <c r="V338" s="96" t="s">
        <v>376</v>
      </c>
      <c r="W338" s="100"/>
      <c r="X338" s="101"/>
      <c r="Y338" s="179"/>
      <c r="Z338" s="179"/>
      <c r="AA338" s="179"/>
      <c r="AB338" s="180"/>
      <c r="AC338" s="366"/>
      <c r="AD338" s="366"/>
      <c r="AE338" s="366"/>
      <c r="AF338" s="366"/>
      <c r="AI338" s="119" t="str">
        <f>"23:shoguukaizen_code:"&amp;IF(I338="■",1,IF(L338="■",7,IF(O338="■",8,IF(R338="■",9,IF(U338="■","A",0)))))</f>
        <v>23:shoguukaizen_code:0</v>
      </c>
    </row>
    <row r="339" spans="1:36" s="119" customFormat="1" ht="18.75" customHeight="1" x14ac:dyDescent="0.15">
      <c r="A339" s="130"/>
      <c r="B339" s="131"/>
      <c r="C339" s="132"/>
      <c r="D339" s="133"/>
      <c r="E339" s="126"/>
      <c r="F339" s="134"/>
      <c r="G339" s="126"/>
      <c r="H339" s="340" t="s">
        <v>96</v>
      </c>
      <c r="I339" s="140" t="s">
        <v>348</v>
      </c>
      <c r="J339" s="124" t="s">
        <v>265</v>
      </c>
      <c r="K339" s="137"/>
      <c r="L339" s="231"/>
      <c r="M339" s="136" t="s">
        <v>348</v>
      </c>
      <c r="N339" s="124" t="s">
        <v>293</v>
      </c>
      <c r="O339" s="232"/>
      <c r="P339" s="232"/>
      <c r="Q339" s="136" t="s">
        <v>348</v>
      </c>
      <c r="R339" s="124" t="s">
        <v>294</v>
      </c>
      <c r="S339" s="232"/>
      <c r="T339" s="232"/>
      <c r="U339" s="136" t="s">
        <v>348</v>
      </c>
      <c r="V339" s="124" t="s">
        <v>295</v>
      </c>
      <c r="W339" s="232"/>
      <c r="X339" s="213"/>
      <c r="Y339" s="140" t="s">
        <v>348</v>
      </c>
      <c r="Z339" s="124" t="s">
        <v>215</v>
      </c>
      <c r="AA339" s="124"/>
      <c r="AB339" s="139"/>
      <c r="AC339" s="363"/>
      <c r="AD339" s="363"/>
      <c r="AE339" s="363"/>
      <c r="AF339" s="363"/>
      <c r="AG339" s="119" t="str">
        <f>"ser_code = '" &amp; IF(A350="■",23,"") &amp; "'"</f>
        <v>ser_code = ''</v>
      </c>
      <c r="AH339" s="119" t="str">
        <f>"23:jininkbn_code:" &amp; IF(F350="■",2,IF(F351="■",3,0))</f>
        <v>23:jininkbn_code:0</v>
      </c>
      <c r="AI339" s="119" t="str">
        <f>"23:yakan_kinmu_code:" &amp; IF(I339="■",1,IF(M339="■",2,IF(Q339="■",3,IF(U339="■",7,IF(I340="■",5,IF(M340="■",6,0))))))</f>
        <v>23:yakan_kinmu_code:0</v>
      </c>
      <c r="AJ339" s="119" t="str">
        <f>"23:field203:" &amp; IF(Y339="■",1,IF(Y340="■",2,0))</f>
        <v>23:field203:0</v>
      </c>
    </row>
    <row r="340" spans="1:36" s="119" customFormat="1" ht="18.75" customHeight="1" x14ac:dyDescent="0.15">
      <c r="A340" s="107"/>
      <c r="B340" s="108"/>
      <c r="C340" s="109"/>
      <c r="D340" s="110"/>
      <c r="E340" s="111"/>
      <c r="F340" s="112"/>
      <c r="G340" s="111"/>
      <c r="H340" s="371"/>
      <c r="I340" s="143" t="s">
        <v>348</v>
      </c>
      <c r="J340" s="115" t="s">
        <v>296</v>
      </c>
      <c r="K340" s="166"/>
      <c r="L340" s="116"/>
      <c r="M340" s="191" t="s">
        <v>348</v>
      </c>
      <c r="N340" s="115" t="s">
        <v>266</v>
      </c>
      <c r="O340" s="144"/>
      <c r="P340" s="144"/>
      <c r="Q340" s="144"/>
      <c r="R340" s="144"/>
      <c r="S340" s="144"/>
      <c r="T340" s="144"/>
      <c r="U340" s="144"/>
      <c r="V340" s="144"/>
      <c r="W340" s="144"/>
      <c r="X340" s="226"/>
      <c r="Y340" s="123" t="s">
        <v>348</v>
      </c>
      <c r="Z340" s="104" t="s">
        <v>221</v>
      </c>
      <c r="AA340" s="105"/>
      <c r="AB340" s="106"/>
      <c r="AC340" s="364"/>
      <c r="AD340" s="364"/>
      <c r="AE340" s="364"/>
      <c r="AF340" s="364"/>
      <c r="AG340" s="119" t="str">
        <f>"23:sisetukbn_code:"&amp;IF(D350="■","A",IF(D351="■","C",0))</f>
        <v>23:sisetukbn_code:0</v>
      </c>
    </row>
    <row r="341" spans="1:36" s="119" customFormat="1" ht="18.75" customHeight="1" x14ac:dyDescent="0.15">
      <c r="A341" s="107"/>
      <c r="B341" s="108"/>
      <c r="C341" s="109"/>
      <c r="D341" s="110"/>
      <c r="E341" s="111"/>
      <c r="F341" s="112"/>
      <c r="G341" s="111"/>
      <c r="H341" s="230" t="s">
        <v>92</v>
      </c>
      <c r="I341" s="148" t="s">
        <v>348</v>
      </c>
      <c r="J341" s="149" t="s">
        <v>216</v>
      </c>
      <c r="K341" s="149"/>
      <c r="L341" s="151"/>
      <c r="M341" s="152" t="s">
        <v>348</v>
      </c>
      <c r="N341" s="149" t="s">
        <v>254</v>
      </c>
      <c r="O341" s="149"/>
      <c r="P341" s="151"/>
      <c r="Q341" s="152" t="s">
        <v>348</v>
      </c>
      <c r="R341" s="196" t="s">
        <v>255</v>
      </c>
      <c r="S341" s="196"/>
      <c r="T341" s="196"/>
      <c r="U341" s="152" t="s">
        <v>348</v>
      </c>
      <c r="V341" s="196" t="s">
        <v>256</v>
      </c>
      <c r="W341" s="154"/>
      <c r="X341" s="155"/>
      <c r="Y341" s="147"/>
      <c r="Z341" s="105"/>
      <c r="AA341" s="105"/>
      <c r="AB341" s="106"/>
      <c r="AC341" s="365"/>
      <c r="AD341" s="365"/>
      <c r="AE341" s="365"/>
      <c r="AF341" s="365"/>
      <c r="AI341" s="119" t="str">
        <f>"23:"&amp;IF(AND(I341="□",M341="□",Q341="□",U341="□"),"ketu_doctor_code:0",IF(I341="■","ketu_doctor_code:1:ketu_kangos_code:1:ketu_kshoku_code:1",
IF(M341="■","ketu_doctor_code:2","ketu_doctor_code:1")
&amp;IF(Q341="■",":ketu_kangos_code:2",":ketu_kangos_code:1")
&amp;IF(U341="■",":ketu_kshoku_code:2",":ketu_kshoku_code:1")))</f>
        <v>23:ketu_doctor_code:0</v>
      </c>
    </row>
    <row r="342" spans="1:36" s="119" customFormat="1" ht="18.75" customHeight="1" x14ac:dyDescent="0.15">
      <c r="A342" s="107"/>
      <c r="B342" s="108"/>
      <c r="C342" s="109"/>
      <c r="D342" s="110"/>
      <c r="E342" s="111"/>
      <c r="F342" s="112"/>
      <c r="G342" s="111"/>
      <c r="H342" s="230" t="s">
        <v>97</v>
      </c>
      <c r="I342" s="148" t="s">
        <v>348</v>
      </c>
      <c r="J342" s="149" t="s">
        <v>230</v>
      </c>
      <c r="K342" s="150"/>
      <c r="L342" s="151"/>
      <c r="M342" s="152" t="s">
        <v>348</v>
      </c>
      <c r="N342" s="149" t="s">
        <v>231</v>
      </c>
      <c r="O342" s="154"/>
      <c r="P342" s="154"/>
      <c r="Q342" s="154"/>
      <c r="R342" s="154"/>
      <c r="S342" s="150"/>
      <c r="T342" s="150"/>
      <c r="U342" s="150"/>
      <c r="V342" s="150"/>
      <c r="W342" s="150"/>
      <c r="X342" s="159"/>
      <c r="Y342" s="147"/>
      <c r="Z342" s="105"/>
      <c r="AA342" s="105"/>
      <c r="AB342" s="106"/>
      <c r="AC342" s="365"/>
      <c r="AD342" s="365"/>
      <c r="AE342" s="365"/>
      <c r="AF342" s="365"/>
      <c r="AI342" s="119" t="str">
        <f>"23:unitcare_code:" &amp; IF(I342="■",1,IF(M342="■",2,0))</f>
        <v>23:unitcare_code:0</v>
      </c>
    </row>
    <row r="343" spans="1:36" s="119" customFormat="1" ht="18.75" customHeight="1" x14ac:dyDescent="0.15">
      <c r="A343" s="107"/>
      <c r="B343" s="108"/>
      <c r="C343" s="238"/>
      <c r="D343" s="239"/>
      <c r="E343" s="111"/>
      <c r="F343" s="112"/>
      <c r="G343" s="113"/>
      <c r="H343" s="230" t="s">
        <v>103</v>
      </c>
      <c r="I343" s="148" t="s">
        <v>348</v>
      </c>
      <c r="J343" s="149" t="s">
        <v>360</v>
      </c>
      <c r="K343" s="150"/>
      <c r="L343" s="151"/>
      <c r="M343" s="152" t="s">
        <v>348</v>
      </c>
      <c r="N343" s="149" t="s">
        <v>361</v>
      </c>
      <c r="O343" s="150"/>
      <c r="P343" s="150"/>
      <c r="Q343" s="150"/>
      <c r="R343" s="150"/>
      <c r="S343" s="150"/>
      <c r="T343" s="150"/>
      <c r="U343" s="150"/>
      <c r="V343" s="150"/>
      <c r="W343" s="150"/>
      <c r="X343" s="159"/>
      <c r="Y343" s="147"/>
      <c r="Z343" s="105"/>
      <c r="AA343" s="105"/>
      <c r="AB343" s="106"/>
      <c r="AC343" s="365"/>
      <c r="AD343" s="365"/>
      <c r="AE343" s="365"/>
      <c r="AF343" s="365"/>
      <c r="AI343" s="119" t="str">
        <f>"23:sintaikousoku_code:" &amp; IF(I343="■",1,IF(M343="■",2,0))</f>
        <v>23:sintaikousoku_code:0</v>
      </c>
    </row>
    <row r="344" spans="1:36" s="119" customFormat="1" ht="19.5" customHeight="1" x14ac:dyDescent="0.15">
      <c r="A344" s="107"/>
      <c r="B344" s="108"/>
      <c r="C344" s="109"/>
      <c r="D344" s="110"/>
      <c r="E344" s="111"/>
      <c r="F344" s="112"/>
      <c r="G344" s="113"/>
      <c r="H344" s="114" t="s">
        <v>369</v>
      </c>
      <c r="I344" s="148" t="s">
        <v>348</v>
      </c>
      <c r="J344" s="149" t="s">
        <v>360</v>
      </c>
      <c r="K344" s="150"/>
      <c r="L344" s="151"/>
      <c r="M344" s="152" t="s">
        <v>348</v>
      </c>
      <c r="N344" s="149" t="s">
        <v>370</v>
      </c>
      <c r="O344" s="153"/>
      <c r="P344" s="149"/>
      <c r="Q344" s="154"/>
      <c r="R344" s="154"/>
      <c r="S344" s="154"/>
      <c r="T344" s="154"/>
      <c r="U344" s="154"/>
      <c r="V344" s="154"/>
      <c r="W344" s="154"/>
      <c r="X344" s="155"/>
      <c r="Y344" s="105"/>
      <c r="Z344" s="105"/>
      <c r="AA344" s="105"/>
      <c r="AB344" s="106"/>
      <c r="AC344" s="365"/>
      <c r="AD344" s="365"/>
      <c r="AE344" s="365"/>
      <c r="AF344" s="365"/>
      <c r="AI344" s="119" t="str">
        <f>"23:field223:" &amp; IF(I344="■",1,IF(M344="■",2,0))</f>
        <v>23:field223:0</v>
      </c>
    </row>
    <row r="345" spans="1:36" s="119" customFormat="1" ht="19.5" customHeight="1" x14ac:dyDescent="0.15">
      <c r="A345" s="107"/>
      <c r="B345" s="108"/>
      <c r="C345" s="109"/>
      <c r="D345" s="110"/>
      <c r="E345" s="111"/>
      <c r="F345" s="112"/>
      <c r="G345" s="113"/>
      <c r="H345" s="114" t="s">
        <v>390</v>
      </c>
      <c r="I345" s="148" t="s">
        <v>348</v>
      </c>
      <c r="J345" s="149" t="s">
        <v>360</v>
      </c>
      <c r="K345" s="150"/>
      <c r="L345" s="151"/>
      <c r="M345" s="152" t="s">
        <v>348</v>
      </c>
      <c r="N345" s="149" t="s">
        <v>370</v>
      </c>
      <c r="O345" s="153"/>
      <c r="P345" s="149"/>
      <c r="Q345" s="154"/>
      <c r="R345" s="154"/>
      <c r="S345" s="154"/>
      <c r="T345" s="154"/>
      <c r="U345" s="154"/>
      <c r="V345" s="154"/>
      <c r="W345" s="154"/>
      <c r="X345" s="155"/>
      <c r="Y345" s="105"/>
      <c r="Z345" s="105"/>
      <c r="AA345" s="105"/>
      <c r="AB345" s="106"/>
      <c r="AC345" s="365"/>
      <c r="AD345" s="365"/>
      <c r="AE345" s="365"/>
      <c r="AF345" s="365"/>
      <c r="AI345" s="119" t="str">
        <f>"23:field232:" &amp; IF(I345="■",1,IF(M345="■",2,0))</f>
        <v>23:field232:0</v>
      </c>
    </row>
    <row r="346" spans="1:36" s="119" customFormat="1" ht="18.75" customHeight="1" x14ac:dyDescent="0.15">
      <c r="A346" s="107"/>
      <c r="B346" s="108"/>
      <c r="C346" s="109"/>
      <c r="D346" s="110"/>
      <c r="E346" s="111"/>
      <c r="F346" s="112"/>
      <c r="G346" s="111"/>
      <c r="H346" s="230" t="s">
        <v>173</v>
      </c>
      <c r="I346" s="148" t="s">
        <v>348</v>
      </c>
      <c r="J346" s="149" t="s">
        <v>265</v>
      </c>
      <c r="K346" s="150"/>
      <c r="L346" s="151"/>
      <c r="M346" s="152" t="s">
        <v>348</v>
      </c>
      <c r="N346" s="149" t="s">
        <v>297</v>
      </c>
      <c r="O346" s="196"/>
      <c r="P346" s="196"/>
      <c r="Q346" s="196"/>
      <c r="R346" s="196"/>
      <c r="S346" s="150"/>
      <c r="T346" s="150"/>
      <c r="U346" s="150"/>
      <c r="V346" s="150"/>
      <c r="W346" s="150"/>
      <c r="X346" s="159"/>
      <c r="Y346" s="147"/>
      <c r="Z346" s="105"/>
      <c r="AA346" s="105"/>
      <c r="AB346" s="106"/>
      <c r="AC346" s="365"/>
      <c r="AD346" s="365"/>
      <c r="AE346" s="365"/>
      <c r="AF346" s="365"/>
      <c r="AI346" s="119" t="str">
        <f>"23:ryokan_code:" &amp; IF(I346="■",1,IF(M346="■",2,0))</f>
        <v>23:ryokan_code:0</v>
      </c>
    </row>
    <row r="347" spans="1:36" s="119" customFormat="1" ht="18.75" customHeight="1" x14ac:dyDescent="0.15">
      <c r="A347" s="107"/>
      <c r="B347" s="108"/>
      <c r="C347" s="109"/>
      <c r="D347" s="110"/>
      <c r="E347" s="111"/>
      <c r="F347" s="112"/>
      <c r="G347" s="111"/>
      <c r="H347" s="230" t="s">
        <v>100</v>
      </c>
      <c r="I347" s="148" t="s">
        <v>348</v>
      </c>
      <c r="J347" s="149" t="s">
        <v>367</v>
      </c>
      <c r="K347" s="150"/>
      <c r="L347" s="151"/>
      <c r="M347" s="152" t="s">
        <v>348</v>
      </c>
      <c r="N347" s="149" t="s">
        <v>298</v>
      </c>
      <c r="O347" s="154"/>
      <c r="P347" s="154"/>
      <c r="Q347" s="154"/>
      <c r="R347" s="196"/>
      <c r="S347" s="150"/>
      <c r="T347" s="150"/>
      <c r="U347" s="150"/>
      <c r="V347" s="150"/>
      <c r="W347" s="150"/>
      <c r="X347" s="159"/>
      <c r="Y347" s="147"/>
      <c r="Z347" s="105"/>
      <c r="AA347" s="105"/>
      <c r="AB347" s="106"/>
      <c r="AC347" s="365"/>
      <c r="AD347" s="365"/>
      <c r="AE347" s="365"/>
      <c r="AF347" s="365"/>
      <c r="AI347" s="119" t="str">
        <f>"23:doctor_haiti_code:" &amp; IF(I347="■",1,IF(M347="■",2,0))</f>
        <v>23:doctor_haiti_code:0</v>
      </c>
    </row>
    <row r="348" spans="1:36" s="119" customFormat="1" ht="18.75" customHeight="1" x14ac:dyDescent="0.15">
      <c r="A348" s="107"/>
      <c r="B348" s="108"/>
      <c r="C348" s="109"/>
      <c r="D348" s="110"/>
      <c r="E348" s="111"/>
      <c r="F348" s="112"/>
      <c r="G348" s="111"/>
      <c r="H348" s="230" t="s">
        <v>104</v>
      </c>
      <c r="I348" s="148" t="s">
        <v>348</v>
      </c>
      <c r="J348" s="149" t="s">
        <v>216</v>
      </c>
      <c r="K348" s="150"/>
      <c r="L348" s="152" t="s">
        <v>348</v>
      </c>
      <c r="M348" s="149" t="s">
        <v>232</v>
      </c>
      <c r="N348" s="154"/>
      <c r="O348" s="154"/>
      <c r="P348" s="154"/>
      <c r="Q348" s="154"/>
      <c r="R348" s="154"/>
      <c r="S348" s="150"/>
      <c r="T348" s="150"/>
      <c r="U348" s="150"/>
      <c r="V348" s="150"/>
      <c r="W348" s="150"/>
      <c r="X348" s="159"/>
      <c r="Y348" s="147"/>
      <c r="Z348" s="105"/>
      <c r="AA348" s="105"/>
      <c r="AB348" s="106"/>
      <c r="AC348" s="365"/>
      <c r="AD348" s="365"/>
      <c r="AE348" s="365"/>
      <c r="AF348" s="365"/>
      <c r="AI348" s="119" t="str">
        <f>"23:jyakuninti_uke_code:" &amp; IF(I348="■",1,IF(L348="■",2,0))</f>
        <v>23:jyakuninti_uke_code:0</v>
      </c>
    </row>
    <row r="349" spans="1:36" s="119" customFormat="1" ht="18.75" customHeight="1" x14ac:dyDescent="0.15">
      <c r="A349" s="107"/>
      <c r="B349" s="108"/>
      <c r="C349" s="109"/>
      <c r="D349" s="110"/>
      <c r="E349" s="111"/>
      <c r="F349" s="112"/>
      <c r="G349" s="111"/>
      <c r="H349" s="230" t="s">
        <v>94</v>
      </c>
      <c r="I349" s="148" t="s">
        <v>348</v>
      </c>
      <c r="J349" s="149" t="s">
        <v>230</v>
      </c>
      <c r="K349" s="150"/>
      <c r="L349" s="151"/>
      <c r="M349" s="152" t="s">
        <v>348</v>
      </c>
      <c r="N349" s="149" t="s">
        <v>231</v>
      </c>
      <c r="O349" s="154"/>
      <c r="P349" s="154"/>
      <c r="Q349" s="154"/>
      <c r="R349" s="154"/>
      <c r="S349" s="150"/>
      <c r="T349" s="150"/>
      <c r="U349" s="150"/>
      <c r="V349" s="150"/>
      <c r="W349" s="150"/>
      <c r="X349" s="159"/>
      <c r="Y349" s="147"/>
      <c r="Z349" s="105"/>
      <c r="AA349" s="105"/>
      <c r="AB349" s="106"/>
      <c r="AC349" s="365"/>
      <c r="AD349" s="365"/>
      <c r="AE349" s="365"/>
      <c r="AF349" s="365"/>
      <c r="AI349" s="119" t="str">
        <f>"23:sougei_code:" &amp; IF(I349="■",1,IF(M349="■",2,0))</f>
        <v>23:sougei_code:0</v>
      </c>
    </row>
    <row r="350" spans="1:36" s="119" customFormat="1" ht="19.5" customHeight="1" x14ac:dyDescent="0.15">
      <c r="A350" s="128" t="s">
        <v>348</v>
      </c>
      <c r="B350" s="108">
        <v>23</v>
      </c>
      <c r="C350" s="109" t="s">
        <v>172</v>
      </c>
      <c r="D350" s="123" t="s">
        <v>348</v>
      </c>
      <c r="E350" s="111" t="s">
        <v>325</v>
      </c>
      <c r="F350" s="123" t="s">
        <v>348</v>
      </c>
      <c r="G350" s="111" t="s">
        <v>323</v>
      </c>
      <c r="H350" s="114" t="s">
        <v>372</v>
      </c>
      <c r="I350" s="148" t="s">
        <v>348</v>
      </c>
      <c r="J350" s="149" t="s">
        <v>216</v>
      </c>
      <c r="K350" s="149"/>
      <c r="L350" s="152" t="s">
        <v>348</v>
      </c>
      <c r="M350" s="149" t="s">
        <v>232</v>
      </c>
      <c r="N350" s="149"/>
      <c r="O350" s="154"/>
      <c r="P350" s="149"/>
      <c r="Q350" s="154"/>
      <c r="R350" s="154"/>
      <c r="S350" s="154"/>
      <c r="T350" s="154"/>
      <c r="U350" s="154"/>
      <c r="V350" s="154"/>
      <c r="W350" s="154"/>
      <c r="X350" s="155"/>
      <c r="Y350" s="105"/>
      <c r="Z350" s="105"/>
      <c r="AA350" s="105"/>
      <c r="AB350" s="106"/>
      <c r="AC350" s="365"/>
      <c r="AD350" s="365"/>
      <c r="AE350" s="365"/>
      <c r="AF350" s="365"/>
      <c r="AI350" s="119" t="str">
        <f>"23:field224:" &amp; IF(I350="■",1,IF(L350="■",2,0))</f>
        <v>23:field224:0</v>
      </c>
    </row>
    <row r="351" spans="1:36" s="119" customFormat="1" ht="18.75" customHeight="1" x14ac:dyDescent="0.15">
      <c r="A351" s="107"/>
      <c r="B351" s="108"/>
      <c r="C351" s="109"/>
      <c r="D351" s="123" t="s">
        <v>348</v>
      </c>
      <c r="E351" s="111" t="s">
        <v>326</v>
      </c>
      <c r="F351" s="123" t="s">
        <v>348</v>
      </c>
      <c r="G351" s="111" t="s">
        <v>324</v>
      </c>
      <c r="H351" s="230" t="s">
        <v>106</v>
      </c>
      <c r="I351" s="148" t="s">
        <v>348</v>
      </c>
      <c r="J351" s="149" t="s">
        <v>216</v>
      </c>
      <c r="K351" s="150"/>
      <c r="L351" s="152" t="s">
        <v>348</v>
      </c>
      <c r="M351" s="149" t="s">
        <v>232</v>
      </c>
      <c r="N351" s="154"/>
      <c r="O351" s="154"/>
      <c r="P351" s="154"/>
      <c r="Q351" s="154"/>
      <c r="R351" s="154"/>
      <c r="S351" s="150"/>
      <c r="T351" s="150"/>
      <c r="U351" s="150"/>
      <c r="V351" s="150"/>
      <c r="W351" s="150"/>
      <c r="X351" s="159"/>
      <c r="Y351" s="147"/>
      <c r="Z351" s="105"/>
      <c r="AA351" s="105"/>
      <c r="AB351" s="106"/>
      <c r="AC351" s="365"/>
      <c r="AD351" s="365"/>
      <c r="AE351" s="365"/>
      <c r="AF351" s="365"/>
      <c r="AI351" s="119" t="str">
        <f>"23:ryouyoushoku_code:" &amp; IF(I351="■",1,IF(L351="■",2,0))</f>
        <v>23:ryouyoushoku_code:0</v>
      </c>
    </row>
    <row r="352" spans="1:36" s="119" customFormat="1" ht="18.75" customHeight="1" x14ac:dyDescent="0.15">
      <c r="A352" s="107"/>
      <c r="B352" s="108"/>
      <c r="C352" s="109"/>
      <c r="D352" s="110"/>
      <c r="E352" s="111"/>
      <c r="F352" s="110"/>
      <c r="G352" s="111"/>
      <c r="H352" s="230" t="s">
        <v>165</v>
      </c>
      <c r="I352" s="148" t="s">
        <v>348</v>
      </c>
      <c r="J352" s="149" t="s">
        <v>216</v>
      </c>
      <c r="K352" s="149"/>
      <c r="L352" s="152" t="s">
        <v>348</v>
      </c>
      <c r="M352" s="149" t="s">
        <v>217</v>
      </c>
      <c r="N352" s="149"/>
      <c r="O352" s="152" t="s">
        <v>348</v>
      </c>
      <c r="P352" s="149" t="s">
        <v>218</v>
      </c>
      <c r="Q352" s="154"/>
      <c r="R352" s="154"/>
      <c r="S352" s="154"/>
      <c r="T352" s="154"/>
      <c r="U352" s="154"/>
      <c r="V352" s="154"/>
      <c r="W352" s="154"/>
      <c r="X352" s="155"/>
      <c r="Y352" s="147"/>
      <c r="Z352" s="105"/>
      <c r="AA352" s="105"/>
      <c r="AB352" s="106"/>
      <c r="AC352" s="365"/>
      <c r="AD352" s="365"/>
      <c r="AE352" s="365"/>
      <c r="AF352" s="365"/>
      <c r="AI352" s="119" t="str">
        <f>"23:ninti_senmoncare_code:" &amp; IF(I352="■",1,IF(O352="■",3,IF(L352="■",2,0)))</f>
        <v>23:ninti_senmoncare_code:0</v>
      </c>
    </row>
    <row r="353" spans="1:36" s="119" customFormat="1" ht="18.75" customHeight="1" x14ac:dyDescent="0.15">
      <c r="A353" s="107"/>
      <c r="B353" s="108"/>
      <c r="C353" s="109"/>
      <c r="D353" s="110"/>
      <c r="E353" s="111"/>
      <c r="F353" s="112"/>
      <c r="G353" s="111"/>
      <c r="H353" s="240" t="s">
        <v>385</v>
      </c>
      <c r="I353" s="148" t="s">
        <v>348</v>
      </c>
      <c r="J353" s="149" t="s">
        <v>216</v>
      </c>
      <c r="K353" s="149"/>
      <c r="L353" s="152" t="s">
        <v>348</v>
      </c>
      <c r="M353" s="149" t="s">
        <v>217</v>
      </c>
      <c r="N353" s="149"/>
      <c r="O353" s="152" t="s">
        <v>348</v>
      </c>
      <c r="P353" s="149" t="s">
        <v>218</v>
      </c>
      <c r="Q353" s="154"/>
      <c r="R353" s="154"/>
      <c r="S353" s="154"/>
      <c r="T353" s="154"/>
      <c r="U353" s="241"/>
      <c r="V353" s="241"/>
      <c r="W353" s="241"/>
      <c r="X353" s="242"/>
      <c r="Y353" s="147"/>
      <c r="Z353" s="105"/>
      <c r="AA353" s="105"/>
      <c r="AB353" s="106"/>
      <c r="AC353" s="365"/>
      <c r="AD353" s="365"/>
      <c r="AE353" s="365"/>
      <c r="AF353" s="365"/>
      <c r="AI353" s="119" t="str">
        <f>"23:field225:" &amp; IF(I353="■",1,IF(L353="■",2,IF(O353="■",3,0)))</f>
        <v>23:field225:0</v>
      </c>
    </row>
    <row r="354" spans="1:36" s="119" customFormat="1" ht="18.75" customHeight="1" x14ac:dyDescent="0.15">
      <c r="A354" s="107"/>
      <c r="B354" s="108"/>
      <c r="C354" s="109"/>
      <c r="D354" s="110"/>
      <c r="E354" s="111"/>
      <c r="F354" s="112"/>
      <c r="G354" s="111"/>
      <c r="H354" s="370" t="s">
        <v>101</v>
      </c>
      <c r="I354" s="194" t="s">
        <v>348</v>
      </c>
      <c r="J354" s="160" t="s">
        <v>285</v>
      </c>
      <c r="K354" s="160"/>
      <c r="L354" s="241"/>
      <c r="M354" s="241"/>
      <c r="N354" s="241"/>
      <c r="O354" s="241"/>
      <c r="P354" s="195" t="s">
        <v>348</v>
      </c>
      <c r="Q354" s="160" t="s">
        <v>286</v>
      </c>
      <c r="R354" s="241"/>
      <c r="S354" s="241"/>
      <c r="T354" s="241"/>
      <c r="U354" s="241"/>
      <c r="V354" s="241"/>
      <c r="W354" s="241"/>
      <c r="X354" s="242"/>
      <c r="Y354" s="147"/>
      <c r="Z354" s="105"/>
      <c r="AA354" s="105"/>
      <c r="AB354" s="106"/>
      <c r="AC354" s="365"/>
      <c r="AD354" s="365"/>
      <c r="AE354" s="365"/>
      <c r="AF354" s="365"/>
      <c r="AI354" s="119" t="str">
        <f>"23:" &amp; IF(AND(I354="□",P354="□",I355="□"),"tokusin_jyusho_code:0:tokusin_yakuzai_code:0:shuudan_comu_code:0",IF(I354="■","tokusin_jyusho_code:2","tokusin_jyusho_code:1")
&amp;IF(P354="■",":tokusin_yakuzai_code:2",":tokusin_yakuzai_code:1")
&amp;IF(I355="■",":shuudan_comu_code:2",":shuudan_comu_code:1"))</f>
        <v>23:tokusin_jyusho_code:0:tokusin_yakuzai_code:0:shuudan_comu_code:0</v>
      </c>
    </row>
    <row r="355" spans="1:36" s="119" customFormat="1" ht="18.75" customHeight="1" x14ac:dyDescent="0.15">
      <c r="A355" s="107"/>
      <c r="B355" s="108"/>
      <c r="C355" s="109"/>
      <c r="D355" s="110"/>
      <c r="E355" s="111"/>
      <c r="F355" s="112"/>
      <c r="G355" s="111"/>
      <c r="H355" s="371"/>
      <c r="I355" s="143" t="s">
        <v>348</v>
      </c>
      <c r="J355" s="115" t="s">
        <v>299</v>
      </c>
      <c r="K355" s="145"/>
      <c r="L355" s="145"/>
      <c r="M355" s="145"/>
      <c r="N355" s="145"/>
      <c r="O355" s="145"/>
      <c r="P355" s="145"/>
      <c r="Q355" s="144"/>
      <c r="R355" s="145"/>
      <c r="S355" s="145"/>
      <c r="T355" s="145"/>
      <c r="U355" s="145"/>
      <c r="V355" s="145"/>
      <c r="W355" s="145"/>
      <c r="X355" s="146"/>
      <c r="Y355" s="147"/>
      <c r="Z355" s="105"/>
      <c r="AA355" s="105"/>
      <c r="AB355" s="106"/>
      <c r="AC355" s="365"/>
      <c r="AD355" s="365"/>
      <c r="AE355" s="365"/>
      <c r="AF355" s="365"/>
    </row>
    <row r="356" spans="1:36" s="119" customFormat="1" ht="18.75" customHeight="1" x14ac:dyDescent="0.15">
      <c r="A356" s="107"/>
      <c r="B356" s="108"/>
      <c r="C356" s="109"/>
      <c r="D356" s="110"/>
      <c r="E356" s="111"/>
      <c r="F356" s="112"/>
      <c r="G356" s="111"/>
      <c r="H356" s="370" t="s">
        <v>102</v>
      </c>
      <c r="I356" s="194" t="s">
        <v>348</v>
      </c>
      <c r="J356" s="160" t="s">
        <v>300</v>
      </c>
      <c r="K356" s="168"/>
      <c r="L356" s="205"/>
      <c r="M356" s="195" t="s">
        <v>348</v>
      </c>
      <c r="N356" s="160" t="s">
        <v>301</v>
      </c>
      <c r="O356" s="241"/>
      <c r="P356" s="241"/>
      <c r="Q356" s="195" t="s">
        <v>348</v>
      </c>
      <c r="R356" s="160" t="s">
        <v>302</v>
      </c>
      <c r="S356" s="241"/>
      <c r="T356" s="241"/>
      <c r="U356" s="241"/>
      <c r="V356" s="241"/>
      <c r="W356" s="241"/>
      <c r="X356" s="242"/>
      <c r="Y356" s="147"/>
      <c r="Z356" s="105"/>
      <c r="AA356" s="105"/>
      <c r="AB356" s="106"/>
      <c r="AC356" s="365"/>
      <c r="AD356" s="365"/>
      <c r="AE356" s="365"/>
      <c r="AF356" s="365"/>
      <c r="AI356" s="119" t="str">
        <f>"23:"&amp;IF(AND(I356="□",M356="□",Q356="□",I357="□",Q357="□"),"koriha_rryoho1_code:0:koriha_sryoho_code:0:koriha_gengo_code:0:riha_seisin_code:0:koriha_other_code:0",IF(I356="■","koriha_rryoho1_code:2","koriha_rryoho1_code:1")
&amp;IF(M356="■",":koriha_sryoho_code:2",":koriha_sryoho_code:1")
&amp;IF(Q356="■",":koriha_gengo_code:2",":koriha_gengo_code:1")
&amp;IF(I357="■",":riha_seisin_code:2",":riha_seisin_code:1")
&amp;IF(Q357="■",":koriha_other_code:2",":koriha_other_code:1"))</f>
        <v>23:koriha_rryoho1_code:0:koriha_sryoho_code:0:koriha_gengo_code:0:riha_seisin_code:0:koriha_other_code:0</v>
      </c>
    </row>
    <row r="357" spans="1:36" s="119" customFormat="1" ht="18.75" customHeight="1" x14ac:dyDescent="0.15">
      <c r="A357" s="107"/>
      <c r="B357" s="108"/>
      <c r="C357" s="109"/>
      <c r="D357" s="110"/>
      <c r="E357" s="111"/>
      <c r="F357" s="112"/>
      <c r="G357" s="111"/>
      <c r="H357" s="371"/>
      <c r="I357" s="143" t="s">
        <v>348</v>
      </c>
      <c r="J357" s="115" t="s">
        <v>303</v>
      </c>
      <c r="K357" s="145"/>
      <c r="L357" s="145"/>
      <c r="M357" s="145"/>
      <c r="N357" s="145"/>
      <c r="O357" s="145"/>
      <c r="P357" s="145"/>
      <c r="Q357" s="191" t="s">
        <v>348</v>
      </c>
      <c r="R357" s="115" t="s">
        <v>304</v>
      </c>
      <c r="S357" s="144"/>
      <c r="T357" s="145"/>
      <c r="U357" s="145"/>
      <c r="V357" s="145"/>
      <c r="W357" s="145"/>
      <c r="X357" s="146"/>
      <c r="Y357" s="147"/>
      <c r="Z357" s="105"/>
      <c r="AA357" s="105"/>
      <c r="AB357" s="106"/>
      <c r="AC357" s="365"/>
      <c r="AD357" s="365"/>
      <c r="AE357" s="365"/>
      <c r="AF357" s="365"/>
    </row>
    <row r="358" spans="1:36" s="119" customFormat="1" ht="18.75" customHeight="1" x14ac:dyDescent="0.15">
      <c r="A358" s="107"/>
      <c r="B358" s="108"/>
      <c r="C358" s="109"/>
      <c r="D358" s="110"/>
      <c r="E358" s="111"/>
      <c r="F358" s="112"/>
      <c r="G358" s="111"/>
      <c r="H358" s="227" t="s">
        <v>111</v>
      </c>
      <c r="I358" s="148" t="s">
        <v>348</v>
      </c>
      <c r="J358" s="149" t="s">
        <v>216</v>
      </c>
      <c r="K358" s="149"/>
      <c r="L358" s="152" t="s">
        <v>348</v>
      </c>
      <c r="M358" s="149" t="s">
        <v>224</v>
      </c>
      <c r="N358" s="149"/>
      <c r="O358" s="152" t="s">
        <v>348</v>
      </c>
      <c r="P358" s="149" t="s">
        <v>225</v>
      </c>
      <c r="Q358" s="196"/>
      <c r="R358" s="152" t="s">
        <v>348</v>
      </c>
      <c r="S358" s="149" t="s">
        <v>248</v>
      </c>
      <c r="T358" s="196"/>
      <c r="U358" s="196"/>
      <c r="V358" s="196"/>
      <c r="W358" s="196"/>
      <c r="X358" s="197"/>
      <c r="Y358" s="147"/>
      <c r="Z358" s="105"/>
      <c r="AA358" s="105"/>
      <c r="AB358" s="106"/>
      <c r="AC358" s="365"/>
      <c r="AD358" s="365"/>
      <c r="AE358" s="365"/>
      <c r="AF358" s="365"/>
      <c r="AI358" s="119" t="str">
        <f>"23:serteikyo_kyoka_code:" &amp; IF(I358="■",1,IF(L358="■",6,IF(O358="■",5,IF(R358="■",7,0))))</f>
        <v>23:serteikyo_kyoka_code:0</v>
      </c>
    </row>
    <row r="359" spans="1:36" s="119" customFormat="1" ht="18.75" customHeight="1" x14ac:dyDescent="0.15">
      <c r="A359" s="107"/>
      <c r="B359" s="108"/>
      <c r="C359" s="109"/>
      <c r="D359" s="110"/>
      <c r="E359" s="111"/>
      <c r="F359" s="112"/>
      <c r="G359" s="111"/>
      <c r="H359" s="329" t="s">
        <v>409</v>
      </c>
      <c r="I359" s="358" t="s">
        <v>348</v>
      </c>
      <c r="J359" s="359" t="s">
        <v>216</v>
      </c>
      <c r="K359" s="359"/>
      <c r="L359" s="360" t="s">
        <v>348</v>
      </c>
      <c r="M359" s="359" t="s">
        <v>232</v>
      </c>
      <c r="N359" s="359"/>
      <c r="O359" s="160"/>
      <c r="P359" s="160"/>
      <c r="Q359" s="160"/>
      <c r="R359" s="160"/>
      <c r="S359" s="160"/>
      <c r="T359" s="160"/>
      <c r="U359" s="160"/>
      <c r="V359" s="160"/>
      <c r="W359" s="160"/>
      <c r="X359" s="163"/>
      <c r="Y359" s="147"/>
      <c r="Z359" s="105"/>
      <c r="AA359" s="105"/>
      <c r="AB359" s="106"/>
      <c r="AC359" s="365"/>
      <c r="AD359" s="365"/>
      <c r="AE359" s="365"/>
      <c r="AF359" s="365"/>
      <c r="AI359" s="119" t="str">
        <f>"23:field221:" &amp; IF(I359="■",1,IF(L359="■",2,0))</f>
        <v>23:field221:0</v>
      </c>
    </row>
    <row r="360" spans="1:36" s="119" customFormat="1" ht="18.75" customHeight="1" x14ac:dyDescent="0.15">
      <c r="A360" s="107"/>
      <c r="B360" s="108"/>
      <c r="C360" s="109"/>
      <c r="D360" s="110"/>
      <c r="E360" s="111"/>
      <c r="F360" s="112"/>
      <c r="G360" s="111"/>
      <c r="H360" s="328"/>
      <c r="I360" s="358"/>
      <c r="J360" s="359"/>
      <c r="K360" s="359"/>
      <c r="L360" s="360"/>
      <c r="M360" s="359"/>
      <c r="N360" s="359"/>
      <c r="O360" s="115"/>
      <c r="P360" s="115"/>
      <c r="Q360" s="115"/>
      <c r="R360" s="115"/>
      <c r="S360" s="115"/>
      <c r="T360" s="115"/>
      <c r="U360" s="115"/>
      <c r="V360" s="115"/>
      <c r="W360" s="115"/>
      <c r="X360" s="161"/>
      <c r="Y360" s="147"/>
      <c r="Z360" s="105"/>
      <c r="AA360" s="105"/>
      <c r="AB360" s="106"/>
      <c r="AC360" s="365"/>
      <c r="AD360" s="365"/>
      <c r="AE360" s="365"/>
      <c r="AF360" s="365"/>
    </row>
    <row r="361" spans="1:36" s="119" customFormat="1" ht="18.75" customHeight="1" x14ac:dyDescent="0.15">
      <c r="A361" s="170"/>
      <c r="B361" s="171"/>
      <c r="C361" s="172"/>
      <c r="D361" s="173"/>
      <c r="E361" s="174"/>
      <c r="F361" s="175"/>
      <c r="G361" s="176"/>
      <c r="H361" s="95" t="s">
        <v>405</v>
      </c>
      <c r="I361" s="177" t="s">
        <v>348</v>
      </c>
      <c r="J361" s="96" t="s">
        <v>216</v>
      </c>
      <c r="K361" s="96"/>
      <c r="L361" s="178" t="s">
        <v>348</v>
      </c>
      <c r="M361" s="96" t="s">
        <v>373</v>
      </c>
      <c r="N361" s="97"/>
      <c r="O361" s="178" t="s">
        <v>348</v>
      </c>
      <c r="P361" s="96" t="s">
        <v>374</v>
      </c>
      <c r="Q361" s="98"/>
      <c r="R361" s="178" t="s">
        <v>348</v>
      </c>
      <c r="S361" s="96" t="s">
        <v>375</v>
      </c>
      <c r="T361" s="98"/>
      <c r="U361" s="178" t="s">
        <v>348</v>
      </c>
      <c r="V361" s="96" t="s">
        <v>376</v>
      </c>
      <c r="W361" s="100"/>
      <c r="X361" s="101"/>
      <c r="Y361" s="179"/>
      <c r="Z361" s="179"/>
      <c r="AA361" s="179"/>
      <c r="AB361" s="180"/>
      <c r="AC361" s="366"/>
      <c r="AD361" s="366"/>
      <c r="AE361" s="366"/>
      <c r="AF361" s="366"/>
      <c r="AI361" s="119" t="str">
        <f>"23:shoguukaizen_code:"&amp;IF(I361="■",1,IF(L361="■",7,IF(O361="■",8,IF(R361="■",9,IF(U361="■","A",0)))))</f>
        <v>23:shoguukaizen_code:0</v>
      </c>
    </row>
    <row r="362" spans="1:36" s="119" customFormat="1" ht="18.75" customHeight="1" x14ac:dyDescent="0.15">
      <c r="A362" s="130"/>
      <c r="B362" s="131"/>
      <c r="C362" s="248"/>
      <c r="D362" s="249"/>
      <c r="E362" s="126"/>
      <c r="F362" s="134"/>
      <c r="G362" s="135"/>
      <c r="H362" s="214" t="s">
        <v>103</v>
      </c>
      <c r="I362" s="183" t="s">
        <v>348</v>
      </c>
      <c r="J362" s="184" t="s">
        <v>360</v>
      </c>
      <c r="K362" s="185"/>
      <c r="L362" s="186"/>
      <c r="M362" s="187" t="s">
        <v>348</v>
      </c>
      <c r="N362" s="184" t="s">
        <v>361</v>
      </c>
      <c r="O362" s="185"/>
      <c r="P362" s="185"/>
      <c r="Q362" s="185"/>
      <c r="R362" s="185"/>
      <c r="S362" s="185"/>
      <c r="T362" s="185"/>
      <c r="U362" s="185"/>
      <c r="V362" s="185"/>
      <c r="W362" s="185"/>
      <c r="X362" s="250"/>
      <c r="Y362" s="136" t="s">
        <v>348</v>
      </c>
      <c r="Z362" s="124" t="s">
        <v>215</v>
      </c>
      <c r="AA362" s="251"/>
      <c r="AB362" s="139"/>
      <c r="AC362" s="311"/>
      <c r="AD362" s="372"/>
      <c r="AE362" s="372"/>
      <c r="AF362" s="373"/>
      <c r="AG362" s="119" t="str">
        <f>"ser_code = '" &amp; IF(A371="■",23,"") &amp; "'"</f>
        <v>ser_code = ''</v>
      </c>
      <c r="AH362" s="119" t="str">
        <f>"23:jininkbn_code:"&amp;IF(F368="■",1,IF(F370="■",3,IF(F372="■",4,IF(F374="■",2,0))))</f>
        <v>23:jininkbn_code:0</v>
      </c>
      <c r="AI362" s="119" t="str">
        <f>"23:sintaikousoku_code:" &amp; IF(I362="■",1,IF(M362="■",2,0))</f>
        <v>23:sintaikousoku_code:0</v>
      </c>
      <c r="AJ362" s="119" t="str">
        <f>"23:field203:" &amp; IF(Y362="■",1,IF(Y363="■",2,0))</f>
        <v>23:field203:0</v>
      </c>
    </row>
    <row r="363" spans="1:36" s="119" customFormat="1" ht="19.5" customHeight="1" x14ac:dyDescent="0.15">
      <c r="A363" s="107"/>
      <c r="B363" s="108"/>
      <c r="C363" s="109"/>
      <c r="D363" s="110"/>
      <c r="E363" s="111"/>
      <c r="F363" s="112"/>
      <c r="G363" s="113"/>
      <c r="H363" s="252" t="s">
        <v>369</v>
      </c>
      <c r="I363" s="143" t="s">
        <v>348</v>
      </c>
      <c r="J363" s="115" t="s">
        <v>360</v>
      </c>
      <c r="K363" s="166"/>
      <c r="L363" s="116"/>
      <c r="M363" s="191" t="s">
        <v>348</v>
      </c>
      <c r="N363" s="115" t="s">
        <v>370</v>
      </c>
      <c r="O363" s="236"/>
      <c r="P363" s="115"/>
      <c r="Q363" s="145"/>
      <c r="R363" s="145"/>
      <c r="S363" s="145"/>
      <c r="T363" s="145"/>
      <c r="U363" s="145"/>
      <c r="V363" s="145"/>
      <c r="W363" s="145"/>
      <c r="X363" s="146"/>
      <c r="Y363" s="123" t="s">
        <v>348</v>
      </c>
      <c r="Z363" s="104" t="s">
        <v>221</v>
      </c>
      <c r="AA363" s="104"/>
      <c r="AB363" s="106"/>
      <c r="AC363" s="374"/>
      <c r="AD363" s="375"/>
      <c r="AE363" s="375"/>
      <c r="AF363" s="376"/>
      <c r="AG363" s="119" t="str">
        <f>"23:sisetukbn_code:"&amp;IF(D371="■","2",0)</f>
        <v>23:sisetukbn_code:0</v>
      </c>
      <c r="AI363" s="119" t="str">
        <f>"23:field223:" &amp; IF(I363="■",1,IF(M363="■",2,0))</f>
        <v>23:field223:0</v>
      </c>
    </row>
    <row r="364" spans="1:36" s="119" customFormat="1" ht="19.5" customHeight="1" x14ac:dyDescent="0.15">
      <c r="A364" s="107"/>
      <c r="B364" s="108"/>
      <c r="C364" s="109"/>
      <c r="D364" s="110"/>
      <c r="E364" s="111"/>
      <c r="F364" s="112"/>
      <c r="G364" s="113"/>
      <c r="H364" s="114" t="s">
        <v>390</v>
      </c>
      <c r="I364" s="148" t="s">
        <v>348</v>
      </c>
      <c r="J364" s="149" t="s">
        <v>360</v>
      </c>
      <c r="K364" s="150"/>
      <c r="L364" s="151"/>
      <c r="M364" s="152" t="s">
        <v>348</v>
      </c>
      <c r="N364" s="149" t="s">
        <v>370</v>
      </c>
      <c r="O364" s="153"/>
      <c r="P364" s="149"/>
      <c r="Q364" s="154"/>
      <c r="R364" s="154"/>
      <c r="S364" s="154"/>
      <c r="T364" s="154"/>
      <c r="U364" s="154"/>
      <c r="V364" s="154"/>
      <c r="W364" s="154"/>
      <c r="X364" s="155"/>
      <c r="Y364" s="103"/>
      <c r="Z364" s="103"/>
      <c r="AA364" s="105"/>
      <c r="AB364" s="106"/>
      <c r="AC364" s="374"/>
      <c r="AD364" s="375"/>
      <c r="AE364" s="375"/>
      <c r="AF364" s="376"/>
      <c r="AI364" s="119" t="str">
        <f>"23:field232:" &amp; IF(I364="■",1,IF(M364="■",2,0))</f>
        <v>23:field232:0</v>
      </c>
    </row>
    <row r="365" spans="1:36" s="119" customFormat="1" ht="18.75" customHeight="1" x14ac:dyDescent="0.15">
      <c r="A365" s="107"/>
      <c r="B365" s="108"/>
      <c r="C365" s="109"/>
      <c r="D365" s="110"/>
      <c r="E365" s="113"/>
      <c r="F365" s="110"/>
      <c r="G365" s="111"/>
      <c r="H365" s="215" t="s">
        <v>110</v>
      </c>
      <c r="I365" s="143" t="s">
        <v>348</v>
      </c>
      <c r="J365" s="115" t="s">
        <v>265</v>
      </c>
      <c r="K365" s="166"/>
      <c r="L365" s="116"/>
      <c r="M365" s="191" t="s">
        <v>348</v>
      </c>
      <c r="N365" s="115" t="s">
        <v>297</v>
      </c>
      <c r="O365" s="144"/>
      <c r="P365" s="166"/>
      <c r="Q365" s="166"/>
      <c r="R365" s="166"/>
      <c r="S365" s="166"/>
      <c r="T365" s="166"/>
      <c r="U365" s="166"/>
      <c r="V365" s="166"/>
      <c r="W365" s="166"/>
      <c r="X365" s="167"/>
      <c r="Y365" s="103"/>
      <c r="Z365" s="103"/>
      <c r="AA365" s="103"/>
      <c r="AB365" s="106"/>
      <c r="AC365" s="374"/>
      <c r="AD365" s="375"/>
      <c r="AE365" s="375"/>
      <c r="AF365" s="376"/>
      <c r="AI365" s="119" t="str">
        <f>"23:setubi_kijyun_code:" &amp; IF(I365="■",1,IF(M365="■",2,0))</f>
        <v>23:setubi_kijyun_code:0</v>
      </c>
    </row>
    <row r="366" spans="1:36" s="119" customFormat="1" ht="18.75" customHeight="1" x14ac:dyDescent="0.15">
      <c r="A366" s="107"/>
      <c r="B366" s="108"/>
      <c r="C366" s="109"/>
      <c r="D366" s="110"/>
      <c r="E366" s="113"/>
      <c r="F366" s="110"/>
      <c r="G366" s="111"/>
      <c r="H366" s="230" t="s">
        <v>133</v>
      </c>
      <c r="I366" s="148" t="s">
        <v>348</v>
      </c>
      <c r="J366" s="149" t="s">
        <v>265</v>
      </c>
      <c r="K366" s="150"/>
      <c r="L366" s="151"/>
      <c r="M366" s="152" t="s">
        <v>348</v>
      </c>
      <c r="N366" s="149" t="s">
        <v>297</v>
      </c>
      <c r="O366" s="196"/>
      <c r="P366" s="150"/>
      <c r="Q366" s="150"/>
      <c r="R366" s="150"/>
      <c r="S366" s="150"/>
      <c r="T366" s="150"/>
      <c r="U366" s="150"/>
      <c r="V366" s="150"/>
      <c r="W366" s="150"/>
      <c r="X366" s="159"/>
      <c r="Y366" s="147"/>
      <c r="Z366" s="105"/>
      <c r="AA366" s="105"/>
      <c r="AB366" s="106"/>
      <c r="AC366" s="374"/>
      <c r="AD366" s="375"/>
      <c r="AE366" s="375"/>
      <c r="AF366" s="376"/>
      <c r="AI366" s="119" t="str">
        <f>"23:field163:" &amp; IF(I366="■",1,IF(M366="■",2,0))</f>
        <v>23:field163:0</v>
      </c>
    </row>
    <row r="367" spans="1:36" s="119" customFormat="1" ht="18.75" customHeight="1" x14ac:dyDescent="0.15">
      <c r="A367" s="107"/>
      <c r="B367" s="108"/>
      <c r="C367" s="109"/>
      <c r="D367" s="110"/>
      <c r="E367" s="113"/>
      <c r="F367" s="110"/>
      <c r="G367" s="111"/>
      <c r="H367" s="230" t="s">
        <v>104</v>
      </c>
      <c r="I367" s="148" t="s">
        <v>348</v>
      </c>
      <c r="J367" s="149" t="s">
        <v>216</v>
      </c>
      <c r="K367" s="150"/>
      <c r="L367" s="152" t="s">
        <v>348</v>
      </c>
      <c r="M367" s="149" t="s">
        <v>232</v>
      </c>
      <c r="N367" s="154"/>
      <c r="O367" s="154"/>
      <c r="P367" s="154"/>
      <c r="Q367" s="150"/>
      <c r="R367" s="150"/>
      <c r="S367" s="150"/>
      <c r="T367" s="150"/>
      <c r="U367" s="150"/>
      <c r="V367" s="150"/>
      <c r="W367" s="150"/>
      <c r="X367" s="159"/>
      <c r="Y367" s="147"/>
      <c r="Z367" s="105"/>
      <c r="AA367" s="105"/>
      <c r="AB367" s="106"/>
      <c r="AC367" s="374"/>
      <c r="AD367" s="375"/>
      <c r="AE367" s="375"/>
      <c r="AF367" s="376"/>
      <c r="AI367" s="119" t="str">
        <f>"23:jyakuninti_uke_code:" &amp; IF(I367="■",1,IF(L367="■",2,0))</f>
        <v>23:jyakuninti_uke_code:0</v>
      </c>
    </row>
    <row r="368" spans="1:36" s="119" customFormat="1" ht="18.75" customHeight="1" x14ac:dyDescent="0.15">
      <c r="A368" s="107"/>
      <c r="B368" s="108"/>
      <c r="C368" s="109"/>
      <c r="D368" s="110"/>
      <c r="E368" s="113"/>
      <c r="F368" s="123" t="s">
        <v>348</v>
      </c>
      <c r="G368" s="111" t="s">
        <v>327</v>
      </c>
      <c r="H368" s="230" t="s">
        <v>94</v>
      </c>
      <c r="I368" s="148" t="s">
        <v>348</v>
      </c>
      <c r="J368" s="149" t="s">
        <v>230</v>
      </c>
      <c r="K368" s="150"/>
      <c r="L368" s="151"/>
      <c r="M368" s="152" t="s">
        <v>348</v>
      </c>
      <c r="N368" s="149" t="s">
        <v>231</v>
      </c>
      <c r="O368" s="154"/>
      <c r="P368" s="154"/>
      <c r="Q368" s="150"/>
      <c r="R368" s="150"/>
      <c r="S368" s="150"/>
      <c r="T368" s="150"/>
      <c r="U368" s="150"/>
      <c r="V368" s="150"/>
      <c r="W368" s="150"/>
      <c r="X368" s="159"/>
      <c r="Y368" s="105"/>
      <c r="Z368" s="105"/>
      <c r="AA368" s="105"/>
      <c r="AB368" s="106"/>
      <c r="AC368" s="374"/>
      <c r="AD368" s="375"/>
      <c r="AE368" s="375"/>
      <c r="AF368" s="376"/>
      <c r="AI368" s="119" t="str">
        <f>"23:sougei_code:" &amp; IF(I368="■",1,IF(M368="■",2,0))</f>
        <v>23:sougei_code:0</v>
      </c>
    </row>
    <row r="369" spans="1:36" s="119" customFormat="1" ht="19.5" customHeight="1" x14ac:dyDescent="0.15">
      <c r="A369" s="107"/>
      <c r="B369" s="108"/>
      <c r="C369" s="109"/>
      <c r="D369" s="110"/>
      <c r="E369" s="113"/>
      <c r="F369" s="110"/>
      <c r="G369" s="111" t="s">
        <v>306</v>
      </c>
      <c r="H369" s="114" t="s">
        <v>372</v>
      </c>
      <c r="I369" s="148" t="s">
        <v>348</v>
      </c>
      <c r="J369" s="149" t="s">
        <v>216</v>
      </c>
      <c r="K369" s="149"/>
      <c r="L369" s="152" t="s">
        <v>348</v>
      </c>
      <c r="M369" s="149" t="s">
        <v>232</v>
      </c>
      <c r="N369" s="149"/>
      <c r="O369" s="154"/>
      <c r="P369" s="149"/>
      <c r="Q369" s="154"/>
      <c r="R369" s="154"/>
      <c r="S369" s="154"/>
      <c r="T369" s="154"/>
      <c r="U369" s="154"/>
      <c r="V369" s="154"/>
      <c r="W369" s="154"/>
      <c r="X369" s="155"/>
      <c r="Y369" s="105"/>
      <c r="Z369" s="105"/>
      <c r="AA369" s="105"/>
      <c r="AB369" s="106"/>
      <c r="AC369" s="374"/>
      <c r="AD369" s="375"/>
      <c r="AE369" s="375"/>
      <c r="AF369" s="376"/>
      <c r="AI369" s="119" t="str">
        <f>"23:field224:" &amp; IF(I369="■",1,IF(L369="■",2,0))</f>
        <v>23:field224:0</v>
      </c>
    </row>
    <row r="370" spans="1:36" s="119" customFormat="1" ht="18.75" customHeight="1" x14ac:dyDescent="0.15">
      <c r="A370" s="107"/>
      <c r="B370" s="108"/>
      <c r="C370" s="109"/>
      <c r="D370" s="110"/>
      <c r="E370" s="113"/>
      <c r="F370" s="123" t="s">
        <v>348</v>
      </c>
      <c r="G370" s="111" t="s">
        <v>328</v>
      </c>
      <c r="H370" s="230" t="s">
        <v>106</v>
      </c>
      <c r="I370" s="148" t="s">
        <v>348</v>
      </c>
      <c r="J370" s="149" t="s">
        <v>216</v>
      </c>
      <c r="K370" s="150"/>
      <c r="L370" s="152" t="s">
        <v>348</v>
      </c>
      <c r="M370" s="149" t="s">
        <v>232</v>
      </c>
      <c r="N370" s="154"/>
      <c r="O370" s="154"/>
      <c r="P370" s="154"/>
      <c r="Q370" s="150"/>
      <c r="R370" s="150"/>
      <c r="S370" s="150"/>
      <c r="T370" s="150"/>
      <c r="U370" s="150"/>
      <c r="V370" s="150"/>
      <c r="W370" s="150"/>
      <c r="X370" s="159"/>
      <c r="Y370" s="147"/>
      <c r="Z370" s="105"/>
      <c r="AA370" s="105"/>
      <c r="AB370" s="106"/>
      <c r="AC370" s="374"/>
      <c r="AD370" s="375"/>
      <c r="AE370" s="375"/>
      <c r="AF370" s="376"/>
      <c r="AI370" s="119" t="str">
        <f>"23:ryouyoushoku_code:" &amp; IF(I370="■",1,IF(L370="■",2,0))</f>
        <v>23:ryouyoushoku_code:0</v>
      </c>
    </row>
    <row r="371" spans="1:36" s="119" customFormat="1" ht="18.75" customHeight="1" x14ac:dyDescent="0.15">
      <c r="A371" s="128" t="s">
        <v>348</v>
      </c>
      <c r="B371" s="108">
        <v>23</v>
      </c>
      <c r="C371" s="109" t="s">
        <v>172</v>
      </c>
      <c r="D371" s="123" t="s">
        <v>348</v>
      </c>
      <c r="E371" s="113" t="s">
        <v>331</v>
      </c>
      <c r="F371" s="110"/>
      <c r="G371" s="111" t="s">
        <v>387</v>
      </c>
      <c r="H371" s="230" t="s">
        <v>165</v>
      </c>
      <c r="I371" s="148" t="s">
        <v>348</v>
      </c>
      <c r="J371" s="149" t="s">
        <v>216</v>
      </c>
      <c r="K371" s="149"/>
      <c r="L371" s="152" t="s">
        <v>348</v>
      </c>
      <c r="M371" s="149" t="s">
        <v>217</v>
      </c>
      <c r="N371" s="149"/>
      <c r="O371" s="152" t="s">
        <v>348</v>
      </c>
      <c r="P371" s="149" t="s">
        <v>218</v>
      </c>
      <c r="Q371" s="154"/>
      <c r="R371" s="150"/>
      <c r="S371" s="150"/>
      <c r="T371" s="150"/>
      <c r="U371" s="150"/>
      <c r="V371" s="150"/>
      <c r="W371" s="150"/>
      <c r="X371" s="159"/>
      <c r="Y371" s="147"/>
      <c r="Z371" s="105"/>
      <c r="AA371" s="105"/>
      <c r="AB371" s="106"/>
      <c r="AC371" s="374"/>
      <c r="AD371" s="375"/>
      <c r="AE371" s="375"/>
      <c r="AF371" s="376"/>
      <c r="AI371" s="119" t="str">
        <f>"23:ninti_senmoncare_code:" &amp; IF(I371="■",1,IF(O371="■",3,IF(L371="■",2,0)))</f>
        <v>23:ninti_senmoncare_code:0</v>
      </c>
    </row>
    <row r="372" spans="1:36" s="119" customFormat="1" ht="18.75" customHeight="1" x14ac:dyDescent="0.15">
      <c r="A372" s="107"/>
      <c r="B372" s="108"/>
      <c r="C372" s="109"/>
      <c r="D372" s="110"/>
      <c r="E372" s="113"/>
      <c r="F372" s="123" t="s">
        <v>348</v>
      </c>
      <c r="G372" s="111" t="s">
        <v>329</v>
      </c>
      <c r="H372" s="370" t="s">
        <v>101</v>
      </c>
      <c r="I372" s="194" t="s">
        <v>348</v>
      </c>
      <c r="J372" s="160" t="s">
        <v>285</v>
      </c>
      <c r="K372" s="160"/>
      <c r="L372" s="241"/>
      <c r="M372" s="241"/>
      <c r="N372" s="241"/>
      <c r="O372" s="241"/>
      <c r="P372" s="195" t="s">
        <v>348</v>
      </c>
      <c r="Q372" s="160" t="s">
        <v>286</v>
      </c>
      <c r="R372" s="241"/>
      <c r="S372" s="241"/>
      <c r="T372" s="241"/>
      <c r="U372" s="241"/>
      <c r="V372" s="241"/>
      <c r="W372" s="241"/>
      <c r="X372" s="242"/>
      <c r="Y372" s="147"/>
      <c r="Z372" s="105"/>
      <c r="AA372" s="105"/>
      <c r="AB372" s="106"/>
      <c r="AC372" s="374"/>
      <c r="AD372" s="375"/>
      <c r="AE372" s="375"/>
      <c r="AF372" s="376"/>
      <c r="AI372" s="119" t="str">
        <f>"23:" &amp; IF(AND(I372="□",P372="□",I373="□"),"tokusin_jyusho_code:0:tokusin_yakuzai_code:0:shuudan_comu_code:0",IF(I372="■","tokusin_jyusho_code:2","tokusin_jyusho_code:1")
&amp;IF(P372="■",":tokusin_yakuzai_code:2",":tokusin_yakuzai_code:1")
&amp;IF(I373="■",":shuudan_comu_code:2",":shuudan_comu_code:1"))</f>
        <v>23:tokusin_jyusho_code:0:tokusin_yakuzai_code:0:shuudan_comu_code:0</v>
      </c>
    </row>
    <row r="373" spans="1:36" s="119" customFormat="1" ht="18.75" customHeight="1" x14ac:dyDescent="0.15">
      <c r="A373" s="107"/>
      <c r="B373" s="108"/>
      <c r="C373" s="109"/>
      <c r="D373" s="110"/>
      <c r="E373" s="113"/>
      <c r="F373" s="110"/>
      <c r="G373" s="111" t="s">
        <v>310</v>
      </c>
      <c r="H373" s="371"/>
      <c r="I373" s="143" t="s">
        <v>348</v>
      </c>
      <c r="J373" s="115" t="s">
        <v>299</v>
      </c>
      <c r="K373" s="145"/>
      <c r="L373" s="145"/>
      <c r="M373" s="145"/>
      <c r="N373" s="145"/>
      <c r="O373" s="145"/>
      <c r="P373" s="145"/>
      <c r="Q373" s="144"/>
      <c r="R373" s="145"/>
      <c r="S373" s="145"/>
      <c r="T373" s="145"/>
      <c r="U373" s="145"/>
      <c r="V373" s="145"/>
      <c r="W373" s="145"/>
      <c r="X373" s="146"/>
      <c r="Y373" s="147"/>
      <c r="Z373" s="105"/>
      <c r="AA373" s="105"/>
      <c r="AB373" s="106"/>
      <c r="AC373" s="374"/>
      <c r="AD373" s="375"/>
      <c r="AE373" s="375"/>
      <c r="AF373" s="376"/>
    </row>
    <row r="374" spans="1:36" s="119" customFormat="1" ht="18.75" customHeight="1" x14ac:dyDescent="0.15">
      <c r="A374" s="107"/>
      <c r="B374" s="108"/>
      <c r="C374" s="109"/>
      <c r="D374" s="110"/>
      <c r="E374" s="113"/>
      <c r="F374" s="123" t="s">
        <v>348</v>
      </c>
      <c r="G374" s="111" t="s">
        <v>330</v>
      </c>
      <c r="H374" s="240" t="s">
        <v>385</v>
      </c>
      <c r="I374" s="148" t="s">
        <v>348</v>
      </c>
      <c r="J374" s="149" t="s">
        <v>216</v>
      </c>
      <c r="K374" s="149"/>
      <c r="L374" s="152" t="s">
        <v>348</v>
      </c>
      <c r="M374" s="149" t="s">
        <v>217</v>
      </c>
      <c r="N374" s="149"/>
      <c r="O374" s="152" t="s">
        <v>348</v>
      </c>
      <c r="P374" s="149" t="s">
        <v>218</v>
      </c>
      <c r="Q374" s="154"/>
      <c r="R374" s="154"/>
      <c r="S374" s="154"/>
      <c r="T374" s="154"/>
      <c r="U374" s="241"/>
      <c r="V374" s="241"/>
      <c r="W374" s="241"/>
      <c r="X374" s="242"/>
      <c r="Y374" s="147"/>
      <c r="Z374" s="105"/>
      <c r="AA374" s="105"/>
      <c r="AB374" s="106"/>
      <c r="AC374" s="374"/>
      <c r="AD374" s="375"/>
      <c r="AE374" s="375"/>
      <c r="AF374" s="376"/>
      <c r="AI374" s="119" t="str">
        <f>"23:field225:" &amp; IF(I374="■",1,IF(L374="■",2,IF(O374="■",3,0)))</f>
        <v>23:field225:0</v>
      </c>
    </row>
    <row r="375" spans="1:36" s="119" customFormat="1" ht="18.75" customHeight="1" x14ac:dyDescent="0.15">
      <c r="A375" s="107"/>
      <c r="B375" s="108"/>
      <c r="C375" s="109"/>
      <c r="D375" s="110"/>
      <c r="E375" s="113"/>
      <c r="F375" s="110"/>
      <c r="G375" s="111"/>
      <c r="H375" s="370" t="s">
        <v>102</v>
      </c>
      <c r="I375" s="194" t="s">
        <v>348</v>
      </c>
      <c r="J375" s="160" t="s">
        <v>300</v>
      </c>
      <c r="K375" s="168"/>
      <c r="L375" s="205"/>
      <c r="M375" s="195" t="s">
        <v>348</v>
      </c>
      <c r="N375" s="160" t="s">
        <v>301</v>
      </c>
      <c r="O375" s="241"/>
      <c r="P375" s="241"/>
      <c r="Q375" s="195" t="s">
        <v>348</v>
      </c>
      <c r="R375" s="160" t="s">
        <v>302</v>
      </c>
      <c r="S375" s="241"/>
      <c r="T375" s="241"/>
      <c r="U375" s="241"/>
      <c r="V375" s="241"/>
      <c r="W375" s="241"/>
      <c r="X375" s="242"/>
      <c r="Y375" s="147"/>
      <c r="Z375" s="105"/>
      <c r="AA375" s="105"/>
      <c r="AB375" s="106"/>
      <c r="AC375" s="374"/>
      <c r="AD375" s="375"/>
      <c r="AE375" s="375"/>
      <c r="AF375" s="376"/>
      <c r="AI375" s="119" t="str">
        <f>"23:"&amp;IF(AND(I375="□",M375="□",Q375="□",I376="□",Q376="□"),"koriha_rryoho1_code:0:koriha_sryoho_code:0:koriha_gengo_code:0:riha_seisin_code:0:koriha_other_code:0",IF(I375="■","koriha_rryoho1_code:2","koriha_rryoho1_code:1")
&amp;IF(M375="■",":koriha_sryoho_code:2",":koriha_sryoho_code:1")
&amp;IF(Q375="■",":koriha_gengo_code:2",":koriha_gengo_code:1")
&amp;IF(I376="■",":riha_seisin_code:2",":riha_seisin_code:1")
&amp;IF(Q376="■",":koriha_other_code:2",":koriha_other_code:1"))</f>
        <v>23:koriha_rryoho1_code:0:koriha_sryoho_code:0:koriha_gengo_code:0:riha_seisin_code:0:koriha_other_code:0</v>
      </c>
    </row>
    <row r="376" spans="1:36" s="119" customFormat="1" ht="18.75" customHeight="1" x14ac:dyDescent="0.15">
      <c r="A376" s="107"/>
      <c r="B376" s="108"/>
      <c r="C376" s="109"/>
      <c r="D376" s="110"/>
      <c r="E376" s="113"/>
      <c r="F376" s="112"/>
      <c r="G376" s="111"/>
      <c r="H376" s="371"/>
      <c r="I376" s="143" t="s">
        <v>348</v>
      </c>
      <c r="J376" s="115" t="s">
        <v>303</v>
      </c>
      <c r="K376" s="145"/>
      <c r="L376" s="145"/>
      <c r="M376" s="145"/>
      <c r="N376" s="145"/>
      <c r="O376" s="145"/>
      <c r="P376" s="145"/>
      <c r="Q376" s="191" t="s">
        <v>348</v>
      </c>
      <c r="R376" s="115" t="s">
        <v>304</v>
      </c>
      <c r="S376" s="144"/>
      <c r="T376" s="145"/>
      <c r="U376" s="145"/>
      <c r="V376" s="145"/>
      <c r="W376" s="145"/>
      <c r="X376" s="146"/>
      <c r="Y376" s="147"/>
      <c r="Z376" s="105"/>
      <c r="AA376" s="105"/>
      <c r="AB376" s="106"/>
      <c r="AC376" s="374"/>
      <c r="AD376" s="375"/>
      <c r="AE376" s="375"/>
      <c r="AF376" s="376"/>
    </row>
    <row r="377" spans="1:36" s="119" customFormat="1" ht="18.75" customHeight="1" x14ac:dyDescent="0.15">
      <c r="A377" s="107"/>
      <c r="B377" s="108"/>
      <c r="C377" s="109"/>
      <c r="D377" s="110"/>
      <c r="E377" s="113"/>
      <c r="F377" s="112"/>
      <c r="G377" s="111"/>
      <c r="H377" s="227" t="s">
        <v>111</v>
      </c>
      <c r="I377" s="148" t="s">
        <v>348</v>
      </c>
      <c r="J377" s="149" t="s">
        <v>216</v>
      </c>
      <c r="K377" s="149"/>
      <c r="L377" s="152" t="s">
        <v>348</v>
      </c>
      <c r="M377" s="149" t="s">
        <v>224</v>
      </c>
      <c r="N377" s="149"/>
      <c r="O377" s="152" t="s">
        <v>348</v>
      </c>
      <c r="P377" s="149" t="s">
        <v>225</v>
      </c>
      <c r="Q377" s="196"/>
      <c r="R377" s="152" t="s">
        <v>348</v>
      </c>
      <c r="S377" s="149" t="s">
        <v>248</v>
      </c>
      <c r="T377" s="196"/>
      <c r="U377" s="196"/>
      <c r="V377" s="196"/>
      <c r="W377" s="196"/>
      <c r="X377" s="197"/>
      <c r="Y377" s="147"/>
      <c r="Z377" s="105"/>
      <c r="AA377" s="105"/>
      <c r="AB377" s="106"/>
      <c r="AC377" s="374"/>
      <c r="AD377" s="375"/>
      <c r="AE377" s="375"/>
      <c r="AF377" s="376"/>
      <c r="AI377" s="119" t="str">
        <f>"23:serteikyo_kyoka_code:" &amp; IF(I377="■",1,IF(L377="■",6,IF(O377="■",5,IF(R377="■",7,0))))</f>
        <v>23:serteikyo_kyoka_code:0</v>
      </c>
    </row>
    <row r="378" spans="1:36" s="119" customFormat="1" ht="18.75" customHeight="1" x14ac:dyDescent="0.15">
      <c r="A378" s="107"/>
      <c r="B378" s="108"/>
      <c r="C378" s="109"/>
      <c r="D378" s="110"/>
      <c r="E378" s="113"/>
      <c r="F378" s="112"/>
      <c r="G378" s="111"/>
      <c r="H378" s="329" t="s">
        <v>409</v>
      </c>
      <c r="I378" s="358" t="s">
        <v>348</v>
      </c>
      <c r="J378" s="359" t="s">
        <v>216</v>
      </c>
      <c r="K378" s="359"/>
      <c r="L378" s="360" t="s">
        <v>348</v>
      </c>
      <c r="M378" s="359" t="s">
        <v>232</v>
      </c>
      <c r="N378" s="359"/>
      <c r="O378" s="160"/>
      <c r="P378" s="160"/>
      <c r="Q378" s="160"/>
      <c r="R378" s="160"/>
      <c r="S378" s="160"/>
      <c r="T378" s="160"/>
      <c r="U378" s="160"/>
      <c r="V378" s="160"/>
      <c r="W378" s="160"/>
      <c r="X378" s="163"/>
      <c r="Y378" s="147"/>
      <c r="Z378" s="105"/>
      <c r="AA378" s="105"/>
      <c r="AB378" s="106"/>
      <c r="AC378" s="374"/>
      <c r="AD378" s="375"/>
      <c r="AE378" s="375"/>
      <c r="AF378" s="376"/>
      <c r="AI378" s="119" t="str">
        <f>"23:field221:" &amp; IF(I378="■",1,IF(L378="■",2,0))</f>
        <v>23:field221:0</v>
      </c>
    </row>
    <row r="379" spans="1:36" s="119" customFormat="1" ht="18.75" customHeight="1" x14ac:dyDescent="0.15">
      <c r="A379" s="107"/>
      <c r="B379" s="108"/>
      <c r="C379" s="109"/>
      <c r="D379" s="110"/>
      <c r="E379" s="113"/>
      <c r="F379" s="112"/>
      <c r="G379" s="111"/>
      <c r="H379" s="328"/>
      <c r="I379" s="358"/>
      <c r="J379" s="359"/>
      <c r="K379" s="359"/>
      <c r="L379" s="360"/>
      <c r="M379" s="359"/>
      <c r="N379" s="359"/>
      <c r="O379" s="115"/>
      <c r="P379" s="115"/>
      <c r="Q379" s="115"/>
      <c r="R379" s="115"/>
      <c r="S379" s="115"/>
      <c r="T379" s="115"/>
      <c r="U379" s="115"/>
      <c r="V379" s="115"/>
      <c r="W379" s="115"/>
      <c r="X379" s="161"/>
      <c r="Y379" s="147"/>
      <c r="Z379" s="105"/>
      <c r="AA379" s="105"/>
      <c r="AB379" s="106"/>
      <c r="AC379" s="374"/>
      <c r="AD379" s="375"/>
      <c r="AE379" s="375"/>
      <c r="AF379" s="376"/>
    </row>
    <row r="380" spans="1:36" s="119" customFormat="1" ht="18.75" customHeight="1" x14ac:dyDescent="0.15">
      <c r="A380" s="170"/>
      <c r="B380" s="171"/>
      <c r="C380" s="172"/>
      <c r="D380" s="173"/>
      <c r="E380" s="174"/>
      <c r="F380" s="175"/>
      <c r="G380" s="176"/>
      <c r="H380" s="95" t="s">
        <v>405</v>
      </c>
      <c r="I380" s="177" t="s">
        <v>348</v>
      </c>
      <c r="J380" s="96" t="s">
        <v>216</v>
      </c>
      <c r="K380" s="96"/>
      <c r="L380" s="178" t="s">
        <v>348</v>
      </c>
      <c r="M380" s="96" t="s">
        <v>373</v>
      </c>
      <c r="N380" s="97"/>
      <c r="O380" s="178" t="s">
        <v>348</v>
      </c>
      <c r="P380" s="99" t="s">
        <v>374</v>
      </c>
      <c r="Q380" s="98"/>
      <c r="R380" s="178" t="s">
        <v>348</v>
      </c>
      <c r="S380" s="96" t="s">
        <v>375</v>
      </c>
      <c r="T380" s="98"/>
      <c r="U380" s="178" t="s">
        <v>348</v>
      </c>
      <c r="V380" s="96" t="s">
        <v>376</v>
      </c>
      <c r="W380" s="100"/>
      <c r="X380" s="101"/>
      <c r="Y380" s="179"/>
      <c r="Z380" s="179"/>
      <c r="AA380" s="179"/>
      <c r="AB380" s="180"/>
      <c r="AC380" s="377"/>
      <c r="AD380" s="378"/>
      <c r="AE380" s="378"/>
      <c r="AF380" s="379"/>
      <c r="AI380" s="119" t="str">
        <f>"23:shoguukaizen_code:"&amp;IF(I380="■",1,IF(L380="■",7,IF(O380="■",8,IF(R380="■",9,IF(U380="■","A",0)))))</f>
        <v>23:shoguukaizen_code:0</v>
      </c>
    </row>
    <row r="381" spans="1:36" s="119" customFormat="1" ht="18.75" customHeight="1" x14ac:dyDescent="0.15">
      <c r="A381" s="130"/>
      <c r="B381" s="131"/>
      <c r="C381" s="132"/>
      <c r="D381" s="133"/>
      <c r="E381" s="135"/>
      <c r="F381" s="133"/>
      <c r="G381" s="126"/>
      <c r="H381" s="214" t="s">
        <v>97</v>
      </c>
      <c r="I381" s="183" t="s">
        <v>348</v>
      </c>
      <c r="J381" s="184" t="s">
        <v>230</v>
      </c>
      <c r="K381" s="185"/>
      <c r="L381" s="186"/>
      <c r="M381" s="187" t="s">
        <v>348</v>
      </c>
      <c r="N381" s="184" t="s">
        <v>231</v>
      </c>
      <c r="O381" s="188"/>
      <c r="P381" s="188"/>
      <c r="Q381" s="188"/>
      <c r="R381" s="188"/>
      <c r="S381" s="188"/>
      <c r="T381" s="188"/>
      <c r="U381" s="188"/>
      <c r="V381" s="188"/>
      <c r="W381" s="188"/>
      <c r="X381" s="189"/>
      <c r="Y381" s="140" t="s">
        <v>348</v>
      </c>
      <c r="Z381" s="124" t="s">
        <v>215</v>
      </c>
      <c r="AA381" s="124"/>
      <c r="AB381" s="139"/>
      <c r="AC381" s="363"/>
      <c r="AD381" s="363"/>
      <c r="AE381" s="363"/>
      <c r="AF381" s="363"/>
      <c r="AG381" s="119" t="str">
        <f>"ser_code = '" &amp; IF(A390="■",23,"") &amp; "'"</f>
        <v>ser_code = ''</v>
      </c>
      <c r="AH381" s="119" t="str">
        <f>"23:jininkbn_code:"&amp;IF(F388="■",1,IF(F390="■",2,IF(F392="■",3,0)))</f>
        <v>23:jininkbn_code:0</v>
      </c>
      <c r="AI381" s="119" t="str">
        <f>"23:unitcare_code:" &amp; IF(I381="■",1,IF(M381="■",2,0))</f>
        <v>23:unitcare_code:0</v>
      </c>
      <c r="AJ381" s="119" t="str">
        <f>"23:field203:" &amp; IF(Y381="■",1,IF(Y382="■",2,0))</f>
        <v>23:field203:0</v>
      </c>
    </row>
    <row r="382" spans="1:36" s="119" customFormat="1" ht="18.75" customHeight="1" x14ac:dyDescent="0.15">
      <c r="A382" s="107"/>
      <c r="B382" s="108"/>
      <c r="C382" s="238"/>
      <c r="D382" s="239"/>
      <c r="E382" s="111"/>
      <c r="F382" s="112"/>
      <c r="G382" s="113"/>
      <c r="H382" s="230" t="s">
        <v>103</v>
      </c>
      <c r="I382" s="148" t="s">
        <v>348</v>
      </c>
      <c r="J382" s="149" t="s">
        <v>360</v>
      </c>
      <c r="K382" s="150"/>
      <c r="L382" s="151"/>
      <c r="M382" s="152" t="s">
        <v>348</v>
      </c>
      <c r="N382" s="149" t="s">
        <v>361</v>
      </c>
      <c r="O382" s="150"/>
      <c r="P382" s="150"/>
      <c r="Q382" s="150"/>
      <c r="R382" s="150"/>
      <c r="S382" s="150"/>
      <c r="T382" s="150"/>
      <c r="U382" s="150"/>
      <c r="V382" s="150"/>
      <c r="W382" s="150"/>
      <c r="X382" s="159"/>
      <c r="Y382" s="123" t="s">
        <v>348</v>
      </c>
      <c r="Z382" s="104" t="s">
        <v>221</v>
      </c>
      <c r="AA382" s="105"/>
      <c r="AB382" s="106"/>
      <c r="AC382" s="364"/>
      <c r="AD382" s="364"/>
      <c r="AE382" s="364"/>
      <c r="AF382" s="364"/>
      <c r="AG382" s="119" t="str">
        <f>"23:sisetukbn_code:"&amp;IF(D390="■","7",0)</f>
        <v>23:sisetukbn_code:0</v>
      </c>
      <c r="AI382" s="119" t="str">
        <f>"23:sintaikousoku_code:" &amp; IF(I382="■",1,IF(M382="■",2,0))</f>
        <v>23:sintaikousoku_code:0</v>
      </c>
    </row>
    <row r="383" spans="1:36" s="119" customFormat="1" ht="19.5" customHeight="1" x14ac:dyDescent="0.15">
      <c r="A383" s="107"/>
      <c r="B383" s="108"/>
      <c r="C383" s="109"/>
      <c r="D383" s="110"/>
      <c r="E383" s="111"/>
      <c r="F383" s="112"/>
      <c r="G383" s="113"/>
      <c r="H383" s="114" t="s">
        <v>369</v>
      </c>
      <c r="I383" s="148" t="s">
        <v>348</v>
      </c>
      <c r="J383" s="149" t="s">
        <v>360</v>
      </c>
      <c r="K383" s="150"/>
      <c r="L383" s="151"/>
      <c r="M383" s="152" t="s">
        <v>348</v>
      </c>
      <c r="N383" s="149" t="s">
        <v>370</v>
      </c>
      <c r="O383" s="153"/>
      <c r="P383" s="149"/>
      <c r="Q383" s="154"/>
      <c r="R383" s="154"/>
      <c r="S383" s="154"/>
      <c r="T383" s="154"/>
      <c r="U383" s="154"/>
      <c r="V383" s="154"/>
      <c r="W383" s="154"/>
      <c r="X383" s="155"/>
      <c r="Y383" s="162"/>
      <c r="Z383" s="104"/>
      <c r="AA383" s="105"/>
      <c r="AB383" s="106"/>
      <c r="AC383" s="364"/>
      <c r="AD383" s="364"/>
      <c r="AE383" s="364"/>
      <c r="AF383" s="364"/>
      <c r="AI383" s="119" t="str">
        <f>"23:field223:" &amp; IF(I383="■",1,IF(M383="■",2,0))</f>
        <v>23:field223:0</v>
      </c>
    </row>
    <row r="384" spans="1:36" s="119" customFormat="1" ht="19.5" customHeight="1" x14ac:dyDescent="0.15">
      <c r="A384" s="107"/>
      <c r="B384" s="108"/>
      <c r="C384" s="109"/>
      <c r="D384" s="110"/>
      <c r="E384" s="111"/>
      <c r="F384" s="112"/>
      <c r="G384" s="113"/>
      <c r="H384" s="114" t="s">
        <v>390</v>
      </c>
      <c r="I384" s="148" t="s">
        <v>348</v>
      </c>
      <c r="J384" s="149" t="s">
        <v>360</v>
      </c>
      <c r="K384" s="150"/>
      <c r="L384" s="151"/>
      <c r="M384" s="152" t="s">
        <v>348</v>
      </c>
      <c r="N384" s="149" t="s">
        <v>370</v>
      </c>
      <c r="O384" s="153"/>
      <c r="P384" s="149"/>
      <c r="Q384" s="154"/>
      <c r="R384" s="154"/>
      <c r="S384" s="154"/>
      <c r="T384" s="154"/>
      <c r="U384" s="154"/>
      <c r="V384" s="154"/>
      <c r="W384" s="154"/>
      <c r="X384" s="155"/>
      <c r="Y384" s="162"/>
      <c r="Z384" s="104"/>
      <c r="AA384" s="105"/>
      <c r="AB384" s="106"/>
      <c r="AC384" s="364"/>
      <c r="AD384" s="364"/>
      <c r="AE384" s="364"/>
      <c r="AF384" s="364"/>
      <c r="AI384" s="119" t="str">
        <f>"23:field232:" &amp; IF(I384="■",1,IF(M384="■",2,0))</f>
        <v>23:field232:0</v>
      </c>
    </row>
    <row r="385" spans="1:35" s="119" customFormat="1" ht="18.75" customHeight="1" x14ac:dyDescent="0.15">
      <c r="A385" s="107"/>
      <c r="B385" s="108"/>
      <c r="C385" s="109"/>
      <c r="D385" s="110"/>
      <c r="E385" s="113"/>
      <c r="F385" s="110"/>
      <c r="G385" s="111"/>
      <c r="H385" s="230" t="s">
        <v>110</v>
      </c>
      <c r="I385" s="148" t="s">
        <v>348</v>
      </c>
      <c r="J385" s="149" t="s">
        <v>265</v>
      </c>
      <c r="K385" s="150"/>
      <c r="L385" s="151"/>
      <c r="M385" s="152" t="s">
        <v>348</v>
      </c>
      <c r="N385" s="149" t="s">
        <v>297</v>
      </c>
      <c r="O385" s="154"/>
      <c r="P385" s="154"/>
      <c r="Q385" s="154"/>
      <c r="R385" s="154"/>
      <c r="S385" s="154"/>
      <c r="T385" s="154"/>
      <c r="U385" s="154"/>
      <c r="V385" s="154"/>
      <c r="W385" s="154"/>
      <c r="X385" s="155"/>
      <c r="Y385" s="147"/>
      <c r="Z385" s="105"/>
      <c r="AA385" s="105"/>
      <c r="AB385" s="106"/>
      <c r="AC385" s="365"/>
      <c r="AD385" s="365"/>
      <c r="AE385" s="365"/>
      <c r="AF385" s="365"/>
      <c r="AI385" s="119" t="str">
        <f>"23:setubi_kijyun_code:" &amp; IF(I385="■",1,IF(M385="■",2,0))</f>
        <v>23:setubi_kijyun_code:0</v>
      </c>
    </row>
    <row r="386" spans="1:35" s="119" customFormat="1" ht="18.75" customHeight="1" x14ac:dyDescent="0.15">
      <c r="A386" s="107"/>
      <c r="B386" s="108"/>
      <c r="C386" s="109"/>
      <c r="D386" s="110"/>
      <c r="E386" s="113"/>
      <c r="F386" s="110"/>
      <c r="G386" s="111"/>
      <c r="H386" s="230" t="s">
        <v>133</v>
      </c>
      <c r="I386" s="148" t="s">
        <v>348</v>
      </c>
      <c r="J386" s="149" t="s">
        <v>265</v>
      </c>
      <c r="K386" s="150"/>
      <c r="L386" s="151"/>
      <c r="M386" s="152" t="s">
        <v>348</v>
      </c>
      <c r="N386" s="149" t="s">
        <v>297</v>
      </c>
      <c r="O386" s="154"/>
      <c r="P386" s="154"/>
      <c r="Q386" s="154"/>
      <c r="R386" s="154"/>
      <c r="S386" s="154"/>
      <c r="T386" s="154"/>
      <c r="U386" s="154"/>
      <c r="V386" s="154"/>
      <c r="W386" s="154"/>
      <c r="X386" s="155"/>
      <c r="Y386" s="147"/>
      <c r="Z386" s="105"/>
      <c r="AA386" s="105"/>
      <c r="AB386" s="106"/>
      <c r="AC386" s="365"/>
      <c r="AD386" s="365"/>
      <c r="AE386" s="365"/>
      <c r="AF386" s="365"/>
      <c r="AI386" s="119" t="str">
        <f>"23:field163:" &amp; IF(I386="■",1,IF(M386="■",2,0))</f>
        <v>23:field163:0</v>
      </c>
    </row>
    <row r="387" spans="1:35" s="119" customFormat="1" ht="18.75" customHeight="1" x14ac:dyDescent="0.15">
      <c r="A387" s="107"/>
      <c r="B387" s="108"/>
      <c r="C387" s="109"/>
      <c r="D387" s="110"/>
      <c r="E387" s="113"/>
      <c r="F387" s="110"/>
      <c r="G387" s="111"/>
      <c r="H387" s="230" t="s">
        <v>104</v>
      </c>
      <c r="I387" s="148" t="s">
        <v>348</v>
      </c>
      <c r="J387" s="149" t="s">
        <v>216</v>
      </c>
      <c r="K387" s="150"/>
      <c r="L387" s="152" t="s">
        <v>348</v>
      </c>
      <c r="M387" s="149" t="s">
        <v>232</v>
      </c>
      <c r="N387" s="154"/>
      <c r="O387" s="154"/>
      <c r="P387" s="154"/>
      <c r="Q387" s="150"/>
      <c r="R387" s="154"/>
      <c r="S387" s="154"/>
      <c r="T387" s="154"/>
      <c r="U387" s="154"/>
      <c r="V387" s="154"/>
      <c r="W387" s="154"/>
      <c r="X387" s="155"/>
      <c r="Y387" s="147"/>
      <c r="Z387" s="105"/>
      <c r="AA387" s="105"/>
      <c r="AB387" s="106"/>
      <c r="AC387" s="365"/>
      <c r="AD387" s="365"/>
      <c r="AE387" s="365"/>
      <c r="AF387" s="365"/>
      <c r="AI387" s="119" t="str">
        <f>"23:jyakuninti_uke_code:" &amp; IF(I387="■",1,IF(L387="■",2,0))</f>
        <v>23:jyakuninti_uke_code:0</v>
      </c>
    </row>
    <row r="388" spans="1:35" s="119" customFormat="1" ht="18.75" customHeight="1" x14ac:dyDescent="0.15">
      <c r="A388" s="107"/>
      <c r="B388" s="108"/>
      <c r="C388" s="109"/>
      <c r="D388" s="110"/>
      <c r="E388" s="113"/>
      <c r="F388" s="123" t="s">
        <v>348</v>
      </c>
      <c r="G388" s="111" t="s">
        <v>316</v>
      </c>
      <c r="H388" s="230" t="s">
        <v>94</v>
      </c>
      <c r="I388" s="148" t="s">
        <v>348</v>
      </c>
      <c r="J388" s="149" t="s">
        <v>230</v>
      </c>
      <c r="K388" s="150"/>
      <c r="L388" s="151"/>
      <c r="M388" s="152" t="s">
        <v>348</v>
      </c>
      <c r="N388" s="149" t="s">
        <v>231</v>
      </c>
      <c r="O388" s="154"/>
      <c r="P388" s="154"/>
      <c r="Q388" s="150"/>
      <c r="R388" s="154"/>
      <c r="S388" s="154"/>
      <c r="T388" s="154"/>
      <c r="U388" s="154"/>
      <c r="V388" s="154"/>
      <c r="W388" s="154"/>
      <c r="X388" s="155"/>
      <c r="Y388" s="147"/>
      <c r="Z388" s="105"/>
      <c r="AA388" s="105"/>
      <c r="AB388" s="106"/>
      <c r="AC388" s="365"/>
      <c r="AD388" s="365"/>
      <c r="AE388" s="365"/>
      <c r="AF388" s="365"/>
      <c r="AI388" s="119" t="str">
        <f>"23:sougei_code:" &amp; IF(I388="■",1,IF(M388="■",2,0))</f>
        <v>23:sougei_code:0</v>
      </c>
    </row>
    <row r="389" spans="1:35" s="119" customFormat="1" ht="19.5" customHeight="1" x14ac:dyDescent="0.15">
      <c r="A389" s="107"/>
      <c r="B389" s="108"/>
      <c r="C389" s="109"/>
      <c r="D389" s="110"/>
      <c r="E389" s="113"/>
      <c r="F389" s="110"/>
      <c r="G389" s="111" t="s">
        <v>317</v>
      </c>
      <c r="H389" s="114" t="s">
        <v>372</v>
      </c>
      <c r="I389" s="148" t="s">
        <v>348</v>
      </c>
      <c r="J389" s="149" t="s">
        <v>216</v>
      </c>
      <c r="K389" s="149"/>
      <c r="L389" s="152" t="s">
        <v>348</v>
      </c>
      <c r="M389" s="149" t="s">
        <v>232</v>
      </c>
      <c r="N389" s="149"/>
      <c r="O389" s="154"/>
      <c r="P389" s="149"/>
      <c r="Q389" s="154"/>
      <c r="R389" s="154"/>
      <c r="S389" s="154"/>
      <c r="T389" s="154"/>
      <c r="U389" s="154"/>
      <c r="V389" s="154"/>
      <c r="W389" s="154"/>
      <c r="X389" s="155"/>
      <c r="Y389" s="105"/>
      <c r="Z389" s="105"/>
      <c r="AA389" s="105"/>
      <c r="AB389" s="106"/>
      <c r="AC389" s="365"/>
      <c r="AD389" s="365"/>
      <c r="AE389" s="365"/>
      <c r="AF389" s="365"/>
      <c r="AI389" s="119" t="str">
        <f>"23:field224:" &amp; IF(I389="■",1,IF(L389="■",2,0))</f>
        <v>23:field224:0</v>
      </c>
    </row>
    <row r="390" spans="1:35" s="119" customFormat="1" ht="18.75" customHeight="1" x14ac:dyDescent="0.15">
      <c r="A390" s="128" t="s">
        <v>348</v>
      </c>
      <c r="B390" s="108">
        <v>23</v>
      </c>
      <c r="C390" s="109" t="s">
        <v>172</v>
      </c>
      <c r="D390" s="123" t="s">
        <v>348</v>
      </c>
      <c r="E390" s="113" t="s">
        <v>332</v>
      </c>
      <c r="F390" s="123" t="s">
        <v>348</v>
      </c>
      <c r="G390" s="111" t="s">
        <v>318</v>
      </c>
      <c r="H390" s="230" t="s">
        <v>106</v>
      </c>
      <c r="I390" s="148" t="s">
        <v>348</v>
      </c>
      <c r="J390" s="149" t="s">
        <v>216</v>
      </c>
      <c r="K390" s="150"/>
      <c r="L390" s="152" t="s">
        <v>348</v>
      </c>
      <c r="M390" s="149" t="s">
        <v>232</v>
      </c>
      <c r="N390" s="154"/>
      <c r="O390" s="154"/>
      <c r="P390" s="154"/>
      <c r="Q390" s="150"/>
      <c r="R390" s="154"/>
      <c r="S390" s="154"/>
      <c r="T390" s="154"/>
      <c r="U390" s="154"/>
      <c r="V390" s="154"/>
      <c r="W390" s="154"/>
      <c r="X390" s="155"/>
      <c r="Y390" s="147"/>
      <c r="Z390" s="105"/>
      <c r="AA390" s="105"/>
      <c r="AB390" s="106"/>
      <c r="AC390" s="365"/>
      <c r="AD390" s="365"/>
      <c r="AE390" s="365"/>
      <c r="AF390" s="365"/>
      <c r="AI390" s="119" t="str">
        <f>"23:ryouyoushoku_code:" &amp; IF(I390="■",1,IF(L390="■",2,0))</f>
        <v>23:ryouyoushoku_code:0</v>
      </c>
    </row>
    <row r="391" spans="1:35" s="119" customFormat="1" ht="18.75" customHeight="1" x14ac:dyDescent="0.15">
      <c r="A391" s="107"/>
      <c r="B391" s="108"/>
      <c r="C391" s="109"/>
      <c r="D391" s="103"/>
      <c r="E391" s="113"/>
      <c r="F391" s="110"/>
      <c r="G391" s="111" t="s">
        <v>319</v>
      </c>
      <c r="H391" s="230" t="s">
        <v>165</v>
      </c>
      <c r="I391" s="148" t="s">
        <v>348</v>
      </c>
      <c r="J391" s="149" t="s">
        <v>216</v>
      </c>
      <c r="K391" s="149"/>
      <c r="L391" s="152" t="s">
        <v>348</v>
      </c>
      <c r="M391" s="149" t="s">
        <v>217</v>
      </c>
      <c r="N391" s="149"/>
      <c r="O391" s="152" t="s">
        <v>348</v>
      </c>
      <c r="P391" s="149" t="s">
        <v>218</v>
      </c>
      <c r="Q391" s="154"/>
      <c r="R391" s="154"/>
      <c r="S391" s="154"/>
      <c r="T391" s="154"/>
      <c r="U391" s="154"/>
      <c r="V391" s="154"/>
      <c r="W391" s="154"/>
      <c r="X391" s="155"/>
      <c r="Y391" s="147"/>
      <c r="Z391" s="105"/>
      <c r="AA391" s="105"/>
      <c r="AB391" s="106"/>
      <c r="AC391" s="365"/>
      <c r="AD391" s="365"/>
      <c r="AE391" s="365"/>
      <c r="AF391" s="365"/>
      <c r="AI391" s="119" t="str">
        <f>"23:ninti_senmoncare_code:" &amp; IF(I391="■",1,IF(O391="■",3,IF(L391="■",2,0)))</f>
        <v>23:ninti_senmoncare_code:0</v>
      </c>
    </row>
    <row r="392" spans="1:35" s="119" customFormat="1" ht="18.75" customHeight="1" x14ac:dyDescent="0.15">
      <c r="A392" s="107"/>
      <c r="B392" s="108"/>
      <c r="C392" s="109"/>
      <c r="D392" s="110"/>
      <c r="E392" s="113"/>
      <c r="F392" s="123" t="s">
        <v>348</v>
      </c>
      <c r="G392" s="111" t="s">
        <v>320</v>
      </c>
      <c r="H392" s="240" t="s">
        <v>385</v>
      </c>
      <c r="I392" s="148" t="s">
        <v>348</v>
      </c>
      <c r="J392" s="149" t="s">
        <v>216</v>
      </c>
      <c r="K392" s="149"/>
      <c r="L392" s="152" t="s">
        <v>348</v>
      </c>
      <c r="M392" s="149" t="s">
        <v>217</v>
      </c>
      <c r="N392" s="149"/>
      <c r="O392" s="152" t="s">
        <v>348</v>
      </c>
      <c r="P392" s="149" t="s">
        <v>218</v>
      </c>
      <c r="Q392" s="154"/>
      <c r="R392" s="154"/>
      <c r="S392" s="154"/>
      <c r="T392" s="154"/>
      <c r="U392" s="241"/>
      <c r="V392" s="241"/>
      <c r="W392" s="241"/>
      <c r="X392" s="242"/>
      <c r="Y392" s="147"/>
      <c r="Z392" s="105"/>
      <c r="AA392" s="105"/>
      <c r="AB392" s="106"/>
      <c r="AC392" s="365"/>
      <c r="AD392" s="365"/>
      <c r="AE392" s="365"/>
      <c r="AF392" s="365"/>
      <c r="AI392" s="119" t="str">
        <f>"23:field225:" &amp; IF(I392="■",1,IF(L392="■",2,IF(O392="■",3,0)))</f>
        <v>23:field225:0</v>
      </c>
    </row>
    <row r="393" spans="1:35" s="119" customFormat="1" ht="18.75" customHeight="1" x14ac:dyDescent="0.15">
      <c r="A393" s="107"/>
      <c r="B393" s="108"/>
      <c r="C393" s="109"/>
      <c r="D393" s="110"/>
      <c r="E393" s="113"/>
      <c r="F393" s="110"/>
      <c r="G393" s="111" t="s">
        <v>321</v>
      </c>
      <c r="H393" s="370" t="s">
        <v>190</v>
      </c>
      <c r="I393" s="194" t="s">
        <v>348</v>
      </c>
      <c r="J393" s="160" t="s">
        <v>285</v>
      </c>
      <c r="K393" s="160"/>
      <c r="L393" s="241"/>
      <c r="M393" s="241"/>
      <c r="N393" s="241"/>
      <c r="O393" s="241"/>
      <c r="P393" s="195" t="s">
        <v>348</v>
      </c>
      <c r="Q393" s="160" t="s">
        <v>286</v>
      </c>
      <c r="R393" s="241"/>
      <c r="S393" s="241"/>
      <c r="T393" s="241"/>
      <c r="U393" s="241"/>
      <c r="V393" s="241"/>
      <c r="W393" s="241"/>
      <c r="X393" s="242"/>
      <c r="Y393" s="147"/>
      <c r="Z393" s="105"/>
      <c r="AA393" s="105"/>
      <c r="AB393" s="106"/>
      <c r="AC393" s="365"/>
      <c r="AD393" s="365"/>
      <c r="AE393" s="365"/>
      <c r="AF393" s="365"/>
      <c r="AI393" s="119" t="str">
        <f>"23:" &amp; IF(AND(I393="□",P393="□",I394="□"),"tokusin_jyusho_code:0:tokusin_yakuzai_code:0:shuudan_comu_code:0",IF(I393="■","tokusin_jyusho_code:2","tokusin_jyusho_code:1")
&amp;IF(P393="■",":tokusin_yakuzai_code:2",":tokusin_yakuzai_code:1")
&amp;IF(I394="■",":shuudan_comu_code:2",":shuudan_comu_code:1"))</f>
        <v>23:tokusin_jyusho_code:0:tokusin_yakuzai_code:0:shuudan_comu_code:0</v>
      </c>
    </row>
    <row r="394" spans="1:35" s="119" customFormat="1" ht="18.75" customHeight="1" x14ac:dyDescent="0.15">
      <c r="A394" s="107"/>
      <c r="B394" s="108"/>
      <c r="C394" s="109"/>
      <c r="D394" s="110"/>
      <c r="E394" s="113"/>
      <c r="F394" s="110"/>
      <c r="G394" s="111"/>
      <c r="H394" s="371"/>
      <c r="I394" s="143" t="s">
        <v>348</v>
      </c>
      <c r="J394" s="115" t="s">
        <v>299</v>
      </c>
      <c r="K394" s="145"/>
      <c r="L394" s="145"/>
      <c r="M394" s="145"/>
      <c r="N394" s="145"/>
      <c r="O394" s="145"/>
      <c r="P394" s="145"/>
      <c r="Q394" s="144"/>
      <c r="R394" s="145"/>
      <c r="S394" s="145"/>
      <c r="T394" s="145"/>
      <c r="U394" s="145"/>
      <c r="V394" s="145"/>
      <c r="W394" s="145"/>
      <c r="X394" s="146"/>
      <c r="Y394" s="147"/>
      <c r="Z394" s="105"/>
      <c r="AA394" s="105"/>
      <c r="AB394" s="106"/>
      <c r="AC394" s="365"/>
      <c r="AD394" s="365"/>
      <c r="AE394" s="365"/>
      <c r="AF394" s="365"/>
    </row>
    <row r="395" spans="1:35" s="119" customFormat="1" ht="18.75" customHeight="1" x14ac:dyDescent="0.15">
      <c r="A395" s="107"/>
      <c r="B395" s="108"/>
      <c r="C395" s="109"/>
      <c r="D395" s="110"/>
      <c r="E395" s="113"/>
      <c r="F395" s="110"/>
      <c r="G395" s="111"/>
      <c r="H395" s="370" t="s">
        <v>386</v>
      </c>
      <c r="I395" s="194" t="s">
        <v>348</v>
      </c>
      <c r="J395" s="160" t="s">
        <v>300</v>
      </c>
      <c r="K395" s="168"/>
      <c r="L395" s="205"/>
      <c r="M395" s="195" t="s">
        <v>348</v>
      </c>
      <c r="N395" s="160" t="s">
        <v>301</v>
      </c>
      <c r="O395" s="241"/>
      <c r="P395" s="241"/>
      <c r="Q395" s="195" t="s">
        <v>348</v>
      </c>
      <c r="R395" s="160" t="s">
        <v>302</v>
      </c>
      <c r="S395" s="241"/>
      <c r="T395" s="241"/>
      <c r="U395" s="241"/>
      <c r="V395" s="241"/>
      <c r="W395" s="241"/>
      <c r="X395" s="242"/>
      <c r="Y395" s="147"/>
      <c r="Z395" s="105"/>
      <c r="AA395" s="105"/>
      <c r="AB395" s="106"/>
      <c r="AC395" s="365"/>
      <c r="AD395" s="365"/>
      <c r="AE395" s="365"/>
      <c r="AF395" s="365"/>
      <c r="AI395" s="119" t="str">
        <f>"23:"&amp;IF(AND(I395="□",M395="□",Q395="□",I396="□",Q396="□"),"koriha_rryoho1_code:0:koriha_sryoho_code:0:koriha_gengo_code=::riha_seisin_code:0:koriha_other_code:0",IF(I395="■","koriha_rryoho1_code:2","koriha_rryoho1_code:1")
&amp;IF(M395="■",":koriha_sryoho_code:2",":koriha_sryoho_code:1")
&amp;IF(Q395="■",":koriha_gengo_code:2",":koriha_gengo_code:1")
&amp;IF(I396="■",":riha_seisin_code:2",":riha_seisin_code:1")
&amp;IF(Q396="■",":koriha_other_code:2",":koriha_other_code:1"))</f>
        <v>23:koriha_rryoho1_code:0:koriha_sryoho_code:0:koriha_gengo_code=::riha_seisin_code:0:koriha_other_code:0</v>
      </c>
    </row>
    <row r="396" spans="1:35" s="119" customFormat="1" ht="18.75" customHeight="1" x14ac:dyDescent="0.15">
      <c r="A396" s="107"/>
      <c r="B396" s="108"/>
      <c r="C396" s="109"/>
      <c r="D396" s="110"/>
      <c r="E396" s="113"/>
      <c r="F396" s="110"/>
      <c r="G396" s="111"/>
      <c r="H396" s="371"/>
      <c r="I396" s="143" t="s">
        <v>348</v>
      </c>
      <c r="J396" s="115" t="s">
        <v>303</v>
      </c>
      <c r="K396" s="145"/>
      <c r="L396" s="145"/>
      <c r="M396" s="145"/>
      <c r="N396" s="145"/>
      <c r="O396" s="145"/>
      <c r="P396" s="145"/>
      <c r="Q396" s="191" t="s">
        <v>348</v>
      </c>
      <c r="R396" s="115" t="s">
        <v>304</v>
      </c>
      <c r="S396" s="144"/>
      <c r="T396" s="145"/>
      <c r="U396" s="145"/>
      <c r="V396" s="145"/>
      <c r="W396" s="145"/>
      <c r="X396" s="146"/>
      <c r="Y396" s="147"/>
      <c r="Z396" s="105"/>
      <c r="AA396" s="105"/>
      <c r="AB396" s="106"/>
      <c r="AC396" s="365"/>
      <c r="AD396" s="365"/>
      <c r="AE396" s="365"/>
      <c r="AF396" s="365"/>
    </row>
    <row r="397" spans="1:35" s="119" customFormat="1" ht="18.75" customHeight="1" x14ac:dyDescent="0.15">
      <c r="A397" s="107"/>
      <c r="B397" s="108"/>
      <c r="C397" s="109"/>
      <c r="D397" s="110"/>
      <c r="E397" s="113"/>
      <c r="F397" s="110"/>
      <c r="G397" s="111"/>
      <c r="H397" s="227" t="s">
        <v>111</v>
      </c>
      <c r="I397" s="148" t="s">
        <v>348</v>
      </c>
      <c r="J397" s="149" t="s">
        <v>216</v>
      </c>
      <c r="K397" s="149"/>
      <c r="L397" s="152" t="s">
        <v>348</v>
      </c>
      <c r="M397" s="149" t="s">
        <v>224</v>
      </c>
      <c r="N397" s="149"/>
      <c r="O397" s="152" t="s">
        <v>348</v>
      </c>
      <c r="P397" s="149" t="s">
        <v>225</v>
      </c>
      <c r="Q397" s="196"/>
      <c r="R397" s="152" t="s">
        <v>348</v>
      </c>
      <c r="S397" s="149" t="s">
        <v>248</v>
      </c>
      <c r="T397" s="196"/>
      <c r="U397" s="196"/>
      <c r="V397" s="196"/>
      <c r="W397" s="196"/>
      <c r="X397" s="197"/>
      <c r="Y397" s="147"/>
      <c r="Z397" s="105"/>
      <c r="AA397" s="105"/>
      <c r="AB397" s="106"/>
      <c r="AC397" s="365"/>
      <c r="AD397" s="365"/>
      <c r="AE397" s="365"/>
      <c r="AF397" s="365"/>
      <c r="AI397" s="119" t="str">
        <f>"23:serteikyo_kyoka_code:" &amp; IF(I397="■",1,IF(L397="■",6,IF(O397="■",5,IF(R397="■",7,0))))</f>
        <v>23:serteikyo_kyoka_code:0</v>
      </c>
    </row>
    <row r="398" spans="1:35" s="119" customFormat="1" ht="18.75" customHeight="1" x14ac:dyDescent="0.15">
      <c r="A398" s="107"/>
      <c r="B398" s="108"/>
      <c r="C398" s="109"/>
      <c r="D398" s="110"/>
      <c r="E398" s="113"/>
      <c r="F398" s="110"/>
      <c r="G398" s="111"/>
      <c r="H398" s="329" t="s">
        <v>409</v>
      </c>
      <c r="I398" s="358" t="s">
        <v>348</v>
      </c>
      <c r="J398" s="359" t="s">
        <v>216</v>
      </c>
      <c r="K398" s="359"/>
      <c r="L398" s="360" t="s">
        <v>348</v>
      </c>
      <c r="M398" s="359" t="s">
        <v>232</v>
      </c>
      <c r="N398" s="359"/>
      <c r="O398" s="160"/>
      <c r="P398" s="160"/>
      <c r="Q398" s="160"/>
      <c r="R398" s="160"/>
      <c r="S398" s="160"/>
      <c r="T398" s="160"/>
      <c r="U398" s="160"/>
      <c r="V398" s="160"/>
      <c r="W398" s="160"/>
      <c r="X398" s="163"/>
      <c r="Y398" s="147"/>
      <c r="Z398" s="105"/>
      <c r="AA398" s="105"/>
      <c r="AB398" s="106"/>
      <c r="AC398" s="365"/>
      <c r="AD398" s="365"/>
      <c r="AE398" s="365"/>
      <c r="AF398" s="365"/>
      <c r="AI398" s="119" t="str">
        <f>"23:field221:" &amp; IF(I398="■",1,IF(L398="■",2,0))</f>
        <v>23:field221:0</v>
      </c>
    </row>
    <row r="399" spans="1:35" s="119" customFormat="1" ht="18.75" customHeight="1" x14ac:dyDescent="0.15">
      <c r="A399" s="107"/>
      <c r="B399" s="108"/>
      <c r="C399" s="109"/>
      <c r="D399" s="110"/>
      <c r="E399" s="113"/>
      <c r="F399" s="110"/>
      <c r="G399" s="111"/>
      <c r="H399" s="328"/>
      <c r="I399" s="358"/>
      <c r="J399" s="359"/>
      <c r="K399" s="359"/>
      <c r="L399" s="360"/>
      <c r="M399" s="359"/>
      <c r="N399" s="359"/>
      <c r="O399" s="115"/>
      <c r="P399" s="115"/>
      <c r="Q399" s="115"/>
      <c r="R399" s="115"/>
      <c r="S399" s="115"/>
      <c r="T399" s="115"/>
      <c r="U399" s="115"/>
      <c r="V399" s="115"/>
      <c r="W399" s="115"/>
      <c r="X399" s="161"/>
      <c r="Y399" s="147"/>
      <c r="Z399" s="105"/>
      <c r="AA399" s="105"/>
      <c r="AB399" s="106"/>
      <c r="AC399" s="365"/>
      <c r="AD399" s="365"/>
      <c r="AE399" s="365"/>
      <c r="AF399" s="365"/>
    </row>
    <row r="400" spans="1:35" s="119" customFormat="1" ht="18.75" customHeight="1" x14ac:dyDescent="0.15">
      <c r="A400" s="107"/>
      <c r="B400" s="108"/>
      <c r="C400" s="109"/>
      <c r="D400" s="110"/>
      <c r="E400" s="111"/>
      <c r="F400" s="112"/>
      <c r="G400" s="113"/>
      <c r="H400" s="204" t="s">
        <v>405</v>
      </c>
      <c r="I400" s="194" t="s">
        <v>348</v>
      </c>
      <c r="J400" s="160" t="s">
        <v>216</v>
      </c>
      <c r="K400" s="160"/>
      <c r="L400" s="195" t="s">
        <v>348</v>
      </c>
      <c r="M400" s="160" t="s">
        <v>373</v>
      </c>
      <c r="N400" s="246"/>
      <c r="O400" s="195" t="s">
        <v>348</v>
      </c>
      <c r="P400" s="104" t="s">
        <v>374</v>
      </c>
      <c r="Q400" s="247"/>
      <c r="R400" s="195" t="s">
        <v>348</v>
      </c>
      <c r="S400" s="160" t="s">
        <v>375</v>
      </c>
      <c r="T400" s="247"/>
      <c r="U400" s="195" t="s">
        <v>348</v>
      </c>
      <c r="V400" s="160" t="s">
        <v>376</v>
      </c>
      <c r="W400" s="241"/>
      <c r="X400" s="242"/>
      <c r="Y400" s="105"/>
      <c r="Z400" s="105"/>
      <c r="AA400" s="105"/>
      <c r="AB400" s="106"/>
      <c r="AC400" s="365"/>
      <c r="AD400" s="365"/>
      <c r="AE400" s="365"/>
      <c r="AF400" s="365"/>
      <c r="AI400" s="119" t="str">
        <f>"23:shoguukaizen_code:"&amp;IF(I400="■",1,IF(L400="■",7,IF(O400="■",8,IF(R400="■",9,IF(U400="■","A",0)))))</f>
        <v>23:shoguukaizen_code:0</v>
      </c>
    </row>
    <row r="401" spans="1:36" s="119" customFormat="1" ht="18.75" customHeight="1" x14ac:dyDescent="0.15">
      <c r="A401" s="253"/>
      <c r="B401" s="254"/>
      <c r="C401" s="132"/>
      <c r="D401" s="133"/>
      <c r="E401" s="135"/>
      <c r="F401" s="133"/>
      <c r="G401" s="126"/>
      <c r="H401" s="340" t="s">
        <v>163</v>
      </c>
      <c r="I401" s="140" t="s">
        <v>348</v>
      </c>
      <c r="J401" s="124" t="s">
        <v>265</v>
      </c>
      <c r="K401" s="137"/>
      <c r="L401" s="231"/>
      <c r="M401" s="136" t="s">
        <v>348</v>
      </c>
      <c r="N401" s="124" t="s">
        <v>293</v>
      </c>
      <c r="O401" s="232"/>
      <c r="P401" s="232"/>
      <c r="Q401" s="136" t="s">
        <v>348</v>
      </c>
      <c r="R401" s="124" t="s">
        <v>294</v>
      </c>
      <c r="S401" s="232"/>
      <c r="T401" s="232"/>
      <c r="U401" s="136" t="s">
        <v>348</v>
      </c>
      <c r="V401" s="124" t="s">
        <v>295</v>
      </c>
      <c r="W401" s="232"/>
      <c r="X401" s="213"/>
      <c r="Y401" s="140" t="s">
        <v>348</v>
      </c>
      <c r="Z401" s="124" t="s">
        <v>215</v>
      </c>
      <c r="AA401" s="124"/>
      <c r="AB401" s="139"/>
      <c r="AC401" s="363"/>
      <c r="AD401" s="363"/>
      <c r="AE401" s="363"/>
      <c r="AF401" s="363"/>
      <c r="AG401" s="119" t="str">
        <f>"ser_code = '" &amp; IF(A413="■","2A","") &amp; "'"</f>
        <v>ser_code = ''</v>
      </c>
      <c r="AH401" s="119" t="str">
        <f>"2A:jininkbn_code:"&amp;IF(F412="■",1,IF(F413="■",2,IF(F414="■",3,0)))</f>
        <v>2A:jininkbn_code:0</v>
      </c>
      <c r="AI401" s="119" t="str">
        <f>"2A:yakan_kinmu_code:" &amp; IF(I401="■",1,IF(M401="■",2,IF(Q401="■",3,IF(U401="■",7,IF(I402="■",5,IF(M402="■",6,0))))))</f>
        <v>2A:yakan_kinmu_code:0</v>
      </c>
      <c r="AJ401" s="119" t="str">
        <f>"2A:field203:" &amp; IF(Y401="■",1,IF(Y402="■",2,0))</f>
        <v>2A:field203:0</v>
      </c>
    </row>
    <row r="402" spans="1:36" s="119" customFormat="1" ht="18.75" customHeight="1" x14ac:dyDescent="0.15">
      <c r="A402" s="255"/>
      <c r="B402" s="256"/>
      <c r="C402" s="109"/>
      <c r="D402" s="110"/>
      <c r="E402" s="113"/>
      <c r="F402" s="110"/>
      <c r="G402" s="111"/>
      <c r="H402" s="371"/>
      <c r="I402" s="143" t="s">
        <v>348</v>
      </c>
      <c r="J402" s="115" t="s">
        <v>296</v>
      </c>
      <c r="K402" s="166"/>
      <c r="L402" s="116"/>
      <c r="M402" s="191" t="s">
        <v>348</v>
      </c>
      <c r="N402" s="115" t="s">
        <v>266</v>
      </c>
      <c r="O402" s="144"/>
      <c r="P402" s="144"/>
      <c r="Q402" s="144"/>
      <c r="R402" s="144"/>
      <c r="S402" s="144"/>
      <c r="T402" s="144"/>
      <c r="U402" s="144"/>
      <c r="V402" s="144"/>
      <c r="W402" s="144"/>
      <c r="X402" s="226"/>
      <c r="Y402" s="123" t="s">
        <v>348</v>
      </c>
      <c r="Z402" s="104" t="s">
        <v>221</v>
      </c>
      <c r="AA402" s="105"/>
      <c r="AB402" s="106"/>
      <c r="AC402" s="364"/>
      <c r="AD402" s="364"/>
      <c r="AE402" s="364"/>
      <c r="AF402" s="364"/>
      <c r="AG402" s="119" t="str">
        <f>"2A:sisetukbn_code:"&amp;IF(D413="■","1",0)</f>
        <v>2A:sisetukbn_code:0</v>
      </c>
    </row>
    <row r="403" spans="1:36" s="119" customFormat="1" ht="18.75" customHeight="1" x14ac:dyDescent="0.15">
      <c r="A403" s="255"/>
      <c r="B403" s="256"/>
      <c r="C403" s="109"/>
      <c r="D403" s="110"/>
      <c r="E403" s="113"/>
      <c r="F403" s="110"/>
      <c r="G403" s="111"/>
      <c r="H403" s="370" t="s">
        <v>92</v>
      </c>
      <c r="I403" s="194" t="s">
        <v>348</v>
      </c>
      <c r="J403" s="160" t="s">
        <v>216</v>
      </c>
      <c r="K403" s="160"/>
      <c r="L403" s="205"/>
      <c r="M403" s="195" t="s">
        <v>348</v>
      </c>
      <c r="N403" s="160" t="s">
        <v>254</v>
      </c>
      <c r="O403" s="160"/>
      <c r="P403" s="205"/>
      <c r="Q403" s="195" t="s">
        <v>348</v>
      </c>
      <c r="R403" s="198" t="s">
        <v>337</v>
      </c>
      <c r="S403" s="198"/>
      <c r="T403" s="198"/>
      <c r="U403" s="241"/>
      <c r="V403" s="205"/>
      <c r="W403" s="198"/>
      <c r="X403" s="242"/>
      <c r="Y403" s="147"/>
      <c r="Z403" s="105"/>
      <c r="AA403" s="105"/>
      <c r="AB403" s="106"/>
      <c r="AC403" s="365"/>
      <c r="AD403" s="365"/>
      <c r="AE403" s="365"/>
      <c r="AF403" s="365"/>
      <c r="AI403" s="119" t="str">
        <f>"2A:"&amp;IF(AND(I403="□",M403="□",Q403="□",I404="□",M404="□"),"ketu_doctor_code:0",IF(I403="■","ketu_doctor_code:1:field197:1:ketu_kangos_code:1:ketu_kshoku_code:1",IF(M403="■","ketu_doctor_code:2","ketu_doctor_code:1")
&amp;IF(Q403="■",":field197:2",":field197:1")
&amp;IF(I404="■",":ketu_kangos_code:2",":ketu_kangos_code:1")
&amp;IF(M404="■",":ketu_kshoku_code:2",":ketu_kshoku_code:1")))</f>
        <v>2A:ketu_doctor_code:0</v>
      </c>
    </row>
    <row r="404" spans="1:36" s="119" customFormat="1" ht="18.75" customHeight="1" x14ac:dyDescent="0.15">
      <c r="A404" s="255"/>
      <c r="B404" s="256"/>
      <c r="C404" s="109"/>
      <c r="D404" s="110"/>
      <c r="E404" s="113"/>
      <c r="F404" s="110"/>
      <c r="G404" s="111"/>
      <c r="H404" s="371"/>
      <c r="I404" s="143" t="s">
        <v>348</v>
      </c>
      <c r="J404" s="144" t="s">
        <v>338</v>
      </c>
      <c r="K404" s="144"/>
      <c r="L404" s="144"/>
      <c r="M404" s="191" t="s">
        <v>348</v>
      </c>
      <c r="N404" s="144" t="s">
        <v>339</v>
      </c>
      <c r="O404" s="116"/>
      <c r="P404" s="144"/>
      <c r="Q404" s="144"/>
      <c r="R404" s="116"/>
      <c r="S404" s="144"/>
      <c r="T404" s="144"/>
      <c r="U404" s="145"/>
      <c r="V404" s="116"/>
      <c r="W404" s="144"/>
      <c r="X404" s="146"/>
      <c r="Y404" s="147"/>
      <c r="Z404" s="105"/>
      <c r="AA404" s="105"/>
      <c r="AB404" s="106"/>
      <c r="AC404" s="365"/>
      <c r="AD404" s="365"/>
      <c r="AE404" s="365"/>
      <c r="AF404" s="365"/>
    </row>
    <row r="405" spans="1:36" s="119" customFormat="1" ht="18.75" customHeight="1" x14ac:dyDescent="0.15">
      <c r="A405" s="107"/>
      <c r="B405" s="108"/>
      <c r="C405" s="238"/>
      <c r="D405" s="239"/>
      <c r="E405" s="111"/>
      <c r="F405" s="112"/>
      <c r="G405" s="113"/>
      <c r="H405" s="230" t="s">
        <v>103</v>
      </c>
      <c r="I405" s="148" t="s">
        <v>348</v>
      </c>
      <c r="J405" s="149" t="s">
        <v>360</v>
      </c>
      <c r="K405" s="150"/>
      <c r="L405" s="151"/>
      <c r="M405" s="152" t="s">
        <v>348</v>
      </c>
      <c r="N405" s="149" t="s">
        <v>361</v>
      </c>
      <c r="O405" s="150"/>
      <c r="P405" s="150"/>
      <c r="Q405" s="150"/>
      <c r="R405" s="150"/>
      <c r="S405" s="150"/>
      <c r="T405" s="150"/>
      <c r="U405" s="150"/>
      <c r="V405" s="150"/>
      <c r="W405" s="150"/>
      <c r="X405" s="159"/>
      <c r="Y405" s="147"/>
      <c r="Z405" s="105"/>
      <c r="AA405" s="105"/>
      <c r="AB405" s="106"/>
      <c r="AC405" s="365"/>
      <c r="AD405" s="365"/>
      <c r="AE405" s="365"/>
      <c r="AF405" s="365"/>
      <c r="AI405" s="119" t="str">
        <f>"2A:sintaikousoku_code:" &amp; IF(I405="■",1,IF(M405="■",2,0))</f>
        <v>2A:sintaikousoku_code:0</v>
      </c>
    </row>
    <row r="406" spans="1:36" s="119" customFormat="1" ht="19.5" customHeight="1" x14ac:dyDescent="0.15">
      <c r="A406" s="107"/>
      <c r="B406" s="108"/>
      <c r="C406" s="109"/>
      <c r="D406" s="110"/>
      <c r="E406" s="111"/>
      <c r="F406" s="112"/>
      <c r="G406" s="113"/>
      <c r="H406" s="114" t="s">
        <v>369</v>
      </c>
      <c r="I406" s="148" t="s">
        <v>348</v>
      </c>
      <c r="J406" s="149" t="s">
        <v>360</v>
      </c>
      <c r="K406" s="150"/>
      <c r="L406" s="151"/>
      <c r="M406" s="152" t="s">
        <v>348</v>
      </c>
      <c r="N406" s="149" t="s">
        <v>370</v>
      </c>
      <c r="O406" s="153"/>
      <c r="P406" s="149"/>
      <c r="Q406" s="154"/>
      <c r="R406" s="154"/>
      <c r="S406" s="154"/>
      <c r="T406" s="154"/>
      <c r="U406" s="154"/>
      <c r="V406" s="154"/>
      <c r="W406" s="154"/>
      <c r="X406" s="155"/>
      <c r="Y406" s="105"/>
      <c r="Z406" s="105"/>
      <c r="AA406" s="105"/>
      <c r="AB406" s="106"/>
      <c r="AC406" s="365"/>
      <c r="AD406" s="365"/>
      <c r="AE406" s="365"/>
      <c r="AF406" s="365"/>
      <c r="AI406" s="119" t="str">
        <f>"2A:field223:" &amp; IF(I406="■",1,IF(M406="■",2,0))</f>
        <v>2A:field223:0</v>
      </c>
    </row>
    <row r="407" spans="1:36" s="119" customFormat="1" ht="19.5" customHeight="1" x14ac:dyDescent="0.15">
      <c r="A407" s="107"/>
      <c r="B407" s="108"/>
      <c r="C407" s="109"/>
      <c r="D407" s="110"/>
      <c r="E407" s="111"/>
      <c r="F407" s="112"/>
      <c r="G407" s="113"/>
      <c r="H407" s="114" t="s">
        <v>390</v>
      </c>
      <c r="I407" s="148" t="s">
        <v>348</v>
      </c>
      <c r="J407" s="149" t="s">
        <v>360</v>
      </c>
      <c r="K407" s="150"/>
      <c r="L407" s="151"/>
      <c r="M407" s="152" t="s">
        <v>348</v>
      </c>
      <c r="N407" s="149" t="s">
        <v>370</v>
      </c>
      <c r="O407" s="153"/>
      <c r="P407" s="149"/>
      <c r="Q407" s="154"/>
      <c r="R407" s="154"/>
      <c r="S407" s="154"/>
      <c r="T407" s="154"/>
      <c r="U407" s="154"/>
      <c r="V407" s="154"/>
      <c r="W407" s="154"/>
      <c r="X407" s="155"/>
      <c r="Y407" s="105"/>
      <c r="Z407" s="105"/>
      <c r="AA407" s="105"/>
      <c r="AB407" s="106"/>
      <c r="AC407" s="365"/>
      <c r="AD407" s="365"/>
      <c r="AE407" s="365"/>
      <c r="AF407" s="365"/>
      <c r="AI407" s="119" t="str">
        <f>"2A:field232:" &amp; IF(I407="■",1,IF(M407="■",2,0))</f>
        <v>2A:field232:0</v>
      </c>
    </row>
    <row r="408" spans="1:36" s="119" customFormat="1" ht="18.75" customHeight="1" x14ac:dyDescent="0.15">
      <c r="A408" s="255"/>
      <c r="B408" s="256"/>
      <c r="C408" s="109"/>
      <c r="D408" s="110"/>
      <c r="E408" s="113"/>
      <c r="F408" s="110"/>
      <c r="G408" s="111"/>
      <c r="H408" s="230" t="s">
        <v>149</v>
      </c>
      <c r="I408" s="148" t="s">
        <v>348</v>
      </c>
      <c r="J408" s="149" t="s">
        <v>265</v>
      </c>
      <c r="K408" s="150"/>
      <c r="L408" s="151"/>
      <c r="M408" s="152" t="s">
        <v>348</v>
      </c>
      <c r="N408" s="149" t="s">
        <v>297</v>
      </c>
      <c r="O408" s="154"/>
      <c r="P408" s="154"/>
      <c r="Q408" s="154"/>
      <c r="R408" s="154"/>
      <c r="S408" s="154"/>
      <c r="T408" s="154"/>
      <c r="U408" s="154"/>
      <c r="V408" s="154"/>
      <c r="W408" s="154"/>
      <c r="X408" s="155"/>
      <c r="Y408" s="147"/>
      <c r="Z408" s="105"/>
      <c r="AA408" s="105"/>
      <c r="AB408" s="106"/>
      <c r="AC408" s="365"/>
      <c r="AD408" s="365"/>
      <c r="AE408" s="365"/>
      <c r="AF408" s="365"/>
      <c r="AI408" s="119" t="str">
        <f>"2A:field190:" &amp; IF(I408="■",1,IF(M408="■",2,0))</f>
        <v>2A:field190:0</v>
      </c>
    </row>
    <row r="409" spans="1:36" s="119" customFormat="1" ht="18.75" customHeight="1" x14ac:dyDescent="0.15">
      <c r="A409" s="255"/>
      <c r="B409" s="256"/>
      <c r="C409" s="109"/>
      <c r="D409" s="110"/>
      <c r="E409" s="113"/>
      <c r="F409" s="110"/>
      <c r="G409" s="111"/>
      <c r="H409" s="230" t="s">
        <v>150</v>
      </c>
      <c r="I409" s="148" t="s">
        <v>348</v>
      </c>
      <c r="J409" s="149" t="s">
        <v>265</v>
      </c>
      <c r="K409" s="150"/>
      <c r="L409" s="151"/>
      <c r="M409" s="152" t="s">
        <v>348</v>
      </c>
      <c r="N409" s="149" t="s">
        <v>297</v>
      </c>
      <c r="O409" s="154"/>
      <c r="P409" s="154"/>
      <c r="Q409" s="154"/>
      <c r="R409" s="154"/>
      <c r="S409" s="154"/>
      <c r="T409" s="154"/>
      <c r="U409" s="154"/>
      <c r="V409" s="154"/>
      <c r="W409" s="154"/>
      <c r="X409" s="155"/>
      <c r="Y409" s="147"/>
      <c r="Z409" s="105"/>
      <c r="AA409" s="105"/>
      <c r="AB409" s="106"/>
      <c r="AC409" s="365"/>
      <c r="AD409" s="365"/>
      <c r="AE409" s="365"/>
      <c r="AF409" s="365"/>
      <c r="AI409" s="119" t="str">
        <f>"2A:field191:" &amp; IF(I409="■",1,IF(M409="■",2,0))</f>
        <v>2A:field191:0</v>
      </c>
    </row>
    <row r="410" spans="1:36" s="119" customFormat="1" ht="18.75" customHeight="1" x14ac:dyDescent="0.15">
      <c r="A410" s="255"/>
      <c r="B410" s="256"/>
      <c r="C410" s="109"/>
      <c r="D410" s="110"/>
      <c r="E410" s="113"/>
      <c r="F410" s="110"/>
      <c r="G410" s="111"/>
      <c r="H410" s="230" t="s">
        <v>104</v>
      </c>
      <c r="I410" s="148" t="s">
        <v>348</v>
      </c>
      <c r="J410" s="149" t="s">
        <v>216</v>
      </c>
      <c r="K410" s="150"/>
      <c r="L410" s="152" t="s">
        <v>348</v>
      </c>
      <c r="M410" s="149" t="s">
        <v>232</v>
      </c>
      <c r="N410" s="154"/>
      <c r="O410" s="154"/>
      <c r="P410" s="154"/>
      <c r="Q410" s="150"/>
      <c r="R410" s="154"/>
      <c r="S410" s="154"/>
      <c r="T410" s="154"/>
      <c r="U410" s="154"/>
      <c r="V410" s="154"/>
      <c r="W410" s="154"/>
      <c r="X410" s="155"/>
      <c r="Y410" s="147"/>
      <c r="Z410" s="105"/>
      <c r="AA410" s="105"/>
      <c r="AB410" s="106"/>
      <c r="AC410" s="365"/>
      <c r="AD410" s="365"/>
      <c r="AE410" s="365"/>
      <c r="AF410" s="365"/>
      <c r="AI410" s="119" t="str">
        <f>"2A:jyakuninti_uke_code:" &amp; IF(I410="■",1,IF(L410="■",2,0))</f>
        <v>2A:jyakuninti_uke_code:0</v>
      </c>
    </row>
    <row r="411" spans="1:36" s="119" customFormat="1" ht="18.75" customHeight="1" x14ac:dyDescent="0.15">
      <c r="A411" s="255"/>
      <c r="B411" s="256"/>
      <c r="C411" s="109"/>
      <c r="D411" s="110"/>
      <c r="E411" s="113"/>
      <c r="F411" s="110"/>
      <c r="G411" s="111"/>
      <c r="H411" s="230" t="s">
        <v>174</v>
      </c>
      <c r="I411" s="148" t="s">
        <v>348</v>
      </c>
      <c r="J411" s="149" t="s">
        <v>230</v>
      </c>
      <c r="K411" s="150"/>
      <c r="L411" s="151"/>
      <c r="M411" s="152" t="s">
        <v>348</v>
      </c>
      <c r="N411" s="149" t="s">
        <v>231</v>
      </c>
      <c r="O411" s="154"/>
      <c r="P411" s="154"/>
      <c r="Q411" s="150"/>
      <c r="R411" s="154"/>
      <c r="S411" s="154"/>
      <c r="T411" s="154"/>
      <c r="U411" s="154"/>
      <c r="V411" s="154"/>
      <c r="W411" s="154"/>
      <c r="X411" s="155"/>
      <c r="Y411" s="147"/>
      <c r="Z411" s="105"/>
      <c r="AA411" s="105"/>
      <c r="AB411" s="106"/>
      <c r="AC411" s="365"/>
      <c r="AD411" s="365"/>
      <c r="AE411" s="365"/>
      <c r="AF411" s="365"/>
      <c r="AI411" s="119" t="str">
        <f>"2A:sougei_code:" &amp; IF(I411="■",1,IF(M411="■",2,0))</f>
        <v>2A:sougei_code:0</v>
      </c>
    </row>
    <row r="412" spans="1:36" s="119" customFormat="1" ht="19.5" customHeight="1" x14ac:dyDescent="0.15">
      <c r="A412" s="255"/>
      <c r="B412" s="256"/>
      <c r="C412" s="109"/>
      <c r="D412" s="110"/>
      <c r="E412" s="113"/>
      <c r="F412" s="123" t="s">
        <v>348</v>
      </c>
      <c r="G412" s="111" t="s">
        <v>333</v>
      </c>
      <c r="H412" s="114" t="s">
        <v>372</v>
      </c>
      <c r="I412" s="148" t="s">
        <v>348</v>
      </c>
      <c r="J412" s="149" t="s">
        <v>216</v>
      </c>
      <c r="K412" s="149"/>
      <c r="L412" s="152" t="s">
        <v>348</v>
      </c>
      <c r="M412" s="149" t="s">
        <v>232</v>
      </c>
      <c r="N412" s="149"/>
      <c r="O412" s="154"/>
      <c r="P412" s="149"/>
      <c r="Q412" s="154"/>
      <c r="R412" s="154"/>
      <c r="S412" s="154"/>
      <c r="T412" s="154"/>
      <c r="U412" s="154"/>
      <c r="V412" s="154"/>
      <c r="W412" s="154"/>
      <c r="X412" s="155"/>
      <c r="Y412" s="105"/>
      <c r="Z412" s="105"/>
      <c r="AA412" s="105"/>
      <c r="AB412" s="106"/>
      <c r="AC412" s="365"/>
      <c r="AD412" s="365"/>
      <c r="AE412" s="365"/>
      <c r="AF412" s="365"/>
      <c r="AI412" s="119" t="str">
        <f>"2A:field224:" &amp; IF(I412="■",1,IF(L412="■",2,0))</f>
        <v>2A:field224:0</v>
      </c>
    </row>
    <row r="413" spans="1:36" s="119" customFormat="1" ht="18.75" customHeight="1" x14ac:dyDescent="0.15">
      <c r="A413" s="128" t="s">
        <v>348</v>
      </c>
      <c r="B413" s="256" t="s">
        <v>191</v>
      </c>
      <c r="C413" s="109" t="s">
        <v>172</v>
      </c>
      <c r="D413" s="123" t="s">
        <v>348</v>
      </c>
      <c r="E413" s="113" t="s">
        <v>336</v>
      </c>
      <c r="F413" s="123" t="s">
        <v>348</v>
      </c>
      <c r="G413" s="111" t="s">
        <v>334</v>
      </c>
      <c r="H413" s="230" t="s">
        <v>106</v>
      </c>
      <c r="I413" s="148" t="s">
        <v>348</v>
      </c>
      <c r="J413" s="149" t="s">
        <v>216</v>
      </c>
      <c r="K413" s="150"/>
      <c r="L413" s="152" t="s">
        <v>348</v>
      </c>
      <c r="M413" s="149" t="s">
        <v>232</v>
      </c>
      <c r="N413" s="154"/>
      <c r="O413" s="154"/>
      <c r="P413" s="154"/>
      <c r="Q413" s="150"/>
      <c r="R413" s="154"/>
      <c r="S413" s="154"/>
      <c r="T413" s="154"/>
      <c r="U413" s="154"/>
      <c r="V413" s="154"/>
      <c r="W413" s="154"/>
      <c r="X413" s="155"/>
      <c r="Y413" s="147"/>
      <c r="Z413" s="105"/>
      <c r="AA413" s="105"/>
      <c r="AB413" s="106"/>
      <c r="AC413" s="365"/>
      <c r="AD413" s="365"/>
      <c r="AE413" s="365"/>
      <c r="AF413" s="365"/>
      <c r="AI413" s="119" t="str">
        <f>"2A:ryouyoushoku_code:" &amp; IF(I413="■",1,IF(L413="■",2,0))</f>
        <v>2A:ryouyoushoku_code:0</v>
      </c>
    </row>
    <row r="414" spans="1:36" s="119" customFormat="1" ht="18.75" customHeight="1" x14ac:dyDescent="0.15">
      <c r="A414" s="255"/>
      <c r="B414" s="256"/>
      <c r="C414" s="109"/>
      <c r="D414" s="110"/>
      <c r="E414" s="113"/>
      <c r="F414" s="123" t="s">
        <v>348</v>
      </c>
      <c r="G414" s="111" t="s">
        <v>335</v>
      </c>
      <c r="H414" s="230" t="s">
        <v>109</v>
      </c>
      <c r="I414" s="148" t="s">
        <v>348</v>
      </c>
      <c r="J414" s="149" t="s">
        <v>216</v>
      </c>
      <c r="K414" s="149"/>
      <c r="L414" s="152" t="s">
        <v>348</v>
      </c>
      <c r="M414" s="149" t="s">
        <v>217</v>
      </c>
      <c r="N414" s="149"/>
      <c r="O414" s="152" t="s">
        <v>348</v>
      </c>
      <c r="P414" s="149" t="s">
        <v>218</v>
      </c>
      <c r="Q414" s="154"/>
      <c r="R414" s="154"/>
      <c r="S414" s="154"/>
      <c r="T414" s="154"/>
      <c r="U414" s="154"/>
      <c r="V414" s="154"/>
      <c r="W414" s="154"/>
      <c r="X414" s="155"/>
      <c r="Y414" s="147"/>
      <c r="Z414" s="105"/>
      <c r="AA414" s="105"/>
      <c r="AB414" s="106"/>
      <c r="AC414" s="365"/>
      <c r="AD414" s="365"/>
      <c r="AE414" s="365"/>
      <c r="AF414" s="365"/>
      <c r="AI414" s="119" t="str">
        <f>"2A:ninti_senmoncare_code:" &amp; IF(I414="■",1,IF(O414="■",3,IF(L414="■",2,0)))</f>
        <v>2A:ninti_senmoncare_code:0</v>
      </c>
    </row>
    <row r="415" spans="1:36" s="119" customFormat="1" ht="18.75" customHeight="1" x14ac:dyDescent="0.15">
      <c r="A415" s="255"/>
      <c r="B415" s="256"/>
      <c r="C415" s="109"/>
      <c r="D415" s="110"/>
      <c r="E415" s="113"/>
      <c r="F415" s="110"/>
      <c r="G415" s="111"/>
      <c r="H415" s="230" t="s">
        <v>129</v>
      </c>
      <c r="I415" s="148" t="s">
        <v>348</v>
      </c>
      <c r="J415" s="149" t="s">
        <v>216</v>
      </c>
      <c r="K415" s="149"/>
      <c r="L415" s="152" t="s">
        <v>348</v>
      </c>
      <c r="M415" s="149" t="s">
        <v>217</v>
      </c>
      <c r="N415" s="149"/>
      <c r="O415" s="152" t="s">
        <v>348</v>
      </c>
      <c r="P415" s="149" t="s">
        <v>218</v>
      </c>
      <c r="Q415" s="154"/>
      <c r="R415" s="154"/>
      <c r="S415" s="154"/>
      <c r="T415" s="154"/>
      <c r="U415" s="154"/>
      <c r="V415" s="154"/>
      <c r="W415" s="154"/>
      <c r="X415" s="155"/>
      <c r="Y415" s="147"/>
      <c r="Z415" s="105"/>
      <c r="AA415" s="105"/>
      <c r="AB415" s="106"/>
      <c r="AC415" s="365"/>
      <c r="AD415" s="365"/>
      <c r="AE415" s="365"/>
      <c r="AF415" s="365"/>
      <c r="AI415" s="119" t="str">
        <f>"2A:field164:" &amp; IF(I415="■",1,IF(L415="■",2,IF(O415="■",3,0)))</f>
        <v>2A:field164:0</v>
      </c>
    </row>
    <row r="416" spans="1:36" s="119" customFormat="1" ht="18.75" customHeight="1" x14ac:dyDescent="0.15">
      <c r="A416" s="255"/>
      <c r="B416" s="256"/>
      <c r="C416" s="109"/>
      <c r="D416" s="110"/>
      <c r="E416" s="113"/>
      <c r="F416" s="110"/>
      <c r="G416" s="111"/>
      <c r="H416" s="370" t="s">
        <v>136</v>
      </c>
      <c r="I416" s="194" t="s">
        <v>348</v>
      </c>
      <c r="J416" s="160" t="s">
        <v>285</v>
      </c>
      <c r="K416" s="160"/>
      <c r="L416" s="241"/>
      <c r="M416" s="241"/>
      <c r="N416" s="241"/>
      <c r="O416" s="241"/>
      <c r="P416" s="195" t="s">
        <v>348</v>
      </c>
      <c r="Q416" s="160" t="s">
        <v>286</v>
      </c>
      <c r="R416" s="241"/>
      <c r="S416" s="241"/>
      <c r="T416" s="241"/>
      <c r="U416" s="241"/>
      <c r="V416" s="241"/>
      <c r="W416" s="241"/>
      <c r="X416" s="242"/>
      <c r="Y416" s="147"/>
      <c r="Z416" s="105"/>
      <c r="AA416" s="105"/>
      <c r="AB416" s="106"/>
      <c r="AC416" s="365"/>
      <c r="AD416" s="365"/>
      <c r="AE416" s="365"/>
      <c r="AF416" s="365"/>
      <c r="AI416" s="119" t="str">
        <f>"2A:" &amp; IF(AND(I416="□",P416="□",I417="□"),"tokusin_jyusho_code:0:tokusin_yakuzai_code:0:shuudan_comu_code:0",IF(I416="■","tokusin_jyusho_code:2","tokusin_jyusho_code:1")
&amp;IF(P416="■",":tokusin_yakuzai_code:2",":tokusin_yakuzai_code:1")
&amp;IF(I417="■",":shuudan_comu_code:2",":shuudan_comu_code:1"))</f>
        <v>2A:tokusin_jyusho_code:0:tokusin_yakuzai_code:0:shuudan_comu_code:0</v>
      </c>
    </row>
    <row r="417" spans="1:38" s="119" customFormat="1" ht="18.75" customHeight="1" x14ac:dyDescent="0.15">
      <c r="A417" s="255"/>
      <c r="B417" s="256"/>
      <c r="C417" s="109"/>
      <c r="D417" s="110"/>
      <c r="E417" s="113"/>
      <c r="F417" s="110"/>
      <c r="G417" s="111"/>
      <c r="H417" s="371"/>
      <c r="I417" s="143" t="s">
        <v>348</v>
      </c>
      <c r="J417" s="115" t="s">
        <v>299</v>
      </c>
      <c r="K417" s="145"/>
      <c r="L417" s="145"/>
      <c r="M417" s="145"/>
      <c r="N417" s="145"/>
      <c r="O417" s="145"/>
      <c r="P417" s="145"/>
      <c r="Q417" s="144"/>
      <c r="R417" s="145"/>
      <c r="S417" s="145"/>
      <c r="T417" s="145"/>
      <c r="U417" s="145"/>
      <c r="V417" s="145"/>
      <c r="W417" s="145"/>
      <c r="X417" s="146"/>
      <c r="Y417" s="147"/>
      <c r="Z417" s="105"/>
      <c r="AA417" s="105"/>
      <c r="AB417" s="106"/>
      <c r="AC417" s="365"/>
      <c r="AD417" s="365"/>
      <c r="AE417" s="365"/>
      <c r="AF417" s="365"/>
    </row>
    <row r="418" spans="1:38" s="119" customFormat="1" ht="18.75" customHeight="1" x14ac:dyDescent="0.15">
      <c r="A418" s="255"/>
      <c r="B418" s="256"/>
      <c r="C418" s="109"/>
      <c r="D418" s="110"/>
      <c r="E418" s="113"/>
      <c r="F418" s="110"/>
      <c r="G418" s="111"/>
      <c r="H418" s="370" t="s">
        <v>102</v>
      </c>
      <c r="I418" s="194" t="s">
        <v>348</v>
      </c>
      <c r="J418" s="160" t="s">
        <v>300</v>
      </c>
      <c r="K418" s="168"/>
      <c r="L418" s="205"/>
      <c r="M418" s="195" t="s">
        <v>348</v>
      </c>
      <c r="N418" s="160" t="s">
        <v>301</v>
      </c>
      <c r="O418" s="241"/>
      <c r="P418" s="241"/>
      <c r="Q418" s="195" t="s">
        <v>348</v>
      </c>
      <c r="R418" s="160" t="s">
        <v>302</v>
      </c>
      <c r="S418" s="241"/>
      <c r="T418" s="241"/>
      <c r="U418" s="241"/>
      <c r="V418" s="241"/>
      <c r="W418" s="241"/>
      <c r="X418" s="242"/>
      <c r="Y418" s="147"/>
      <c r="Z418" s="105"/>
      <c r="AA418" s="105"/>
      <c r="AB418" s="106"/>
      <c r="AC418" s="365"/>
      <c r="AD418" s="365"/>
      <c r="AE418" s="365"/>
      <c r="AF418" s="365"/>
      <c r="AI418" s="119" t="str">
        <f>"2A:"&amp;IF(AND(I418="□",M418="□",Q418="□",I419="□",Q419="□"),"koriha_rryoho1_code:0:koriha_sryoho_code:0:koriha_gengo_code:0:riha_seisin_code:0:koriha_other_code:0",IF(I418="■","koriha_rryoho1_code:2","koriha_rryoho1_code:1")
&amp;IF(M418="■",":koriha_sryoho_code:2",":koriha_sryoho_code:1")
&amp;IF(Q418="■",":koriha_gengo_code:2",":koriha_gengo_code:1")
&amp;IF(I419="■",":riha_seisin_code:2",":riha_seisin_code:1")
&amp;IF(Q419="■",":koriha_other_code:2",":koriha_other_code:1"))</f>
        <v>2A:koriha_rryoho1_code:0:koriha_sryoho_code:0:koriha_gengo_code:0:riha_seisin_code:0:koriha_other_code:0</v>
      </c>
    </row>
    <row r="419" spans="1:38" s="119" customFormat="1" ht="18.75" customHeight="1" x14ac:dyDescent="0.15">
      <c r="A419" s="255"/>
      <c r="B419" s="256"/>
      <c r="C419" s="109"/>
      <c r="D419" s="110"/>
      <c r="E419" s="113"/>
      <c r="F419" s="110"/>
      <c r="G419" s="111"/>
      <c r="H419" s="371"/>
      <c r="I419" s="143" t="s">
        <v>348</v>
      </c>
      <c r="J419" s="115" t="s">
        <v>303</v>
      </c>
      <c r="K419" s="145"/>
      <c r="L419" s="145"/>
      <c r="M419" s="145"/>
      <c r="N419" s="145"/>
      <c r="O419" s="145"/>
      <c r="P419" s="145"/>
      <c r="Q419" s="191" t="s">
        <v>348</v>
      </c>
      <c r="R419" s="115" t="s">
        <v>304</v>
      </c>
      <c r="S419" s="144"/>
      <c r="T419" s="145"/>
      <c r="U419" s="145"/>
      <c r="V419" s="145"/>
      <c r="W419" s="145"/>
      <c r="X419" s="146"/>
      <c r="Y419" s="147"/>
      <c r="Z419" s="105"/>
      <c r="AA419" s="105"/>
      <c r="AB419" s="106"/>
      <c r="AC419" s="365"/>
      <c r="AD419" s="365"/>
      <c r="AE419" s="365"/>
      <c r="AF419" s="365"/>
    </row>
    <row r="420" spans="1:38" s="119" customFormat="1" ht="18.75" customHeight="1" x14ac:dyDescent="0.15">
      <c r="A420" s="255"/>
      <c r="B420" s="256"/>
      <c r="C420" s="109"/>
      <c r="D420" s="110"/>
      <c r="E420" s="113"/>
      <c r="F420" s="110"/>
      <c r="G420" s="111"/>
      <c r="H420" s="240" t="s">
        <v>385</v>
      </c>
      <c r="I420" s="148" t="s">
        <v>348</v>
      </c>
      <c r="J420" s="149" t="s">
        <v>216</v>
      </c>
      <c r="K420" s="149"/>
      <c r="L420" s="152" t="s">
        <v>348</v>
      </c>
      <c r="M420" s="149" t="s">
        <v>217</v>
      </c>
      <c r="N420" s="149"/>
      <c r="O420" s="152" t="s">
        <v>348</v>
      </c>
      <c r="P420" s="149" t="s">
        <v>218</v>
      </c>
      <c r="Q420" s="154"/>
      <c r="R420" s="154"/>
      <c r="S420" s="154"/>
      <c r="T420" s="154"/>
      <c r="U420" s="241"/>
      <c r="V420" s="241"/>
      <c r="W420" s="241"/>
      <c r="X420" s="242"/>
      <c r="Y420" s="147"/>
      <c r="Z420" s="105"/>
      <c r="AA420" s="105"/>
      <c r="AB420" s="106"/>
      <c r="AC420" s="365"/>
      <c r="AD420" s="365"/>
      <c r="AE420" s="365"/>
      <c r="AF420" s="365"/>
      <c r="AI420" s="119" t="str">
        <f>"2A:field225:" &amp; IF(I420="■",1,IF(L420="■",2,IF(O420="■",3,0)))</f>
        <v>2A:field225:0</v>
      </c>
    </row>
    <row r="421" spans="1:38" s="119" customFormat="1" ht="18.75" customHeight="1" x14ac:dyDescent="0.15">
      <c r="A421" s="255"/>
      <c r="B421" s="256"/>
      <c r="C421" s="109"/>
      <c r="D421" s="110"/>
      <c r="E421" s="113"/>
      <c r="F421" s="110"/>
      <c r="G421" s="111"/>
      <c r="H421" s="227" t="s">
        <v>111</v>
      </c>
      <c r="I421" s="148" t="s">
        <v>348</v>
      </c>
      <c r="J421" s="149" t="s">
        <v>216</v>
      </c>
      <c r="K421" s="149"/>
      <c r="L421" s="152" t="s">
        <v>348</v>
      </c>
      <c r="M421" s="149" t="s">
        <v>224</v>
      </c>
      <c r="N421" s="149"/>
      <c r="O421" s="152" t="s">
        <v>348</v>
      </c>
      <c r="P421" s="149" t="s">
        <v>225</v>
      </c>
      <c r="Q421" s="196"/>
      <c r="R421" s="152" t="s">
        <v>348</v>
      </c>
      <c r="S421" s="149" t="s">
        <v>248</v>
      </c>
      <c r="T421" s="196"/>
      <c r="U421" s="196"/>
      <c r="V421" s="196"/>
      <c r="W421" s="196"/>
      <c r="X421" s="197"/>
      <c r="Y421" s="147"/>
      <c r="Z421" s="105"/>
      <c r="AA421" s="105"/>
      <c r="AB421" s="106"/>
      <c r="AC421" s="365"/>
      <c r="AD421" s="365"/>
      <c r="AE421" s="365"/>
      <c r="AF421" s="365"/>
      <c r="AI421" s="119" t="str">
        <f>"2A:serteikyo_kyoka_code:" &amp; IF(I421="■",1,IF(L421="■",6,IF(O421="■",5,IF(R421="■",7,0))))</f>
        <v>2A:serteikyo_kyoka_code:0</v>
      </c>
    </row>
    <row r="422" spans="1:38" s="119" customFormat="1" ht="18.75" customHeight="1" x14ac:dyDescent="0.15">
      <c r="A422" s="255"/>
      <c r="B422" s="256"/>
      <c r="C422" s="109"/>
      <c r="D422" s="110"/>
      <c r="E422" s="113"/>
      <c r="F422" s="110"/>
      <c r="G422" s="111"/>
      <c r="H422" s="329" t="s">
        <v>409</v>
      </c>
      <c r="I422" s="358" t="s">
        <v>348</v>
      </c>
      <c r="J422" s="359" t="s">
        <v>216</v>
      </c>
      <c r="K422" s="359"/>
      <c r="L422" s="360" t="s">
        <v>348</v>
      </c>
      <c r="M422" s="359" t="s">
        <v>232</v>
      </c>
      <c r="N422" s="359"/>
      <c r="O422" s="160"/>
      <c r="P422" s="160"/>
      <c r="Q422" s="160"/>
      <c r="R422" s="160"/>
      <c r="S422" s="160"/>
      <c r="T422" s="160"/>
      <c r="U422" s="160"/>
      <c r="V422" s="160"/>
      <c r="W422" s="160"/>
      <c r="X422" s="163"/>
      <c r="Y422" s="147"/>
      <c r="Z422" s="105"/>
      <c r="AA422" s="105"/>
      <c r="AB422" s="106"/>
      <c r="AC422" s="365"/>
      <c r="AD422" s="365"/>
      <c r="AE422" s="365"/>
      <c r="AF422" s="365"/>
      <c r="AI422" s="119" t="str">
        <f>"2A:field221:" &amp; IF(I422="■",1,IF(L422="■",2,0))</f>
        <v>2A:field221:0</v>
      </c>
    </row>
    <row r="423" spans="1:38" s="119" customFormat="1" ht="18.75" customHeight="1" x14ac:dyDescent="0.15">
      <c r="A423" s="255"/>
      <c r="B423" s="256"/>
      <c r="C423" s="109"/>
      <c r="D423" s="110"/>
      <c r="E423" s="113"/>
      <c r="F423" s="110"/>
      <c r="G423" s="111"/>
      <c r="H423" s="328"/>
      <c r="I423" s="358"/>
      <c r="J423" s="359"/>
      <c r="K423" s="359"/>
      <c r="L423" s="360"/>
      <c r="M423" s="359"/>
      <c r="N423" s="359"/>
      <c r="O423" s="115"/>
      <c r="P423" s="115"/>
      <c r="Q423" s="115"/>
      <c r="R423" s="115"/>
      <c r="S423" s="115"/>
      <c r="T423" s="115"/>
      <c r="U423" s="115"/>
      <c r="V423" s="115"/>
      <c r="W423" s="115"/>
      <c r="X423" s="161"/>
      <c r="Y423" s="147"/>
      <c r="Z423" s="105"/>
      <c r="AA423" s="105"/>
      <c r="AB423" s="106"/>
      <c r="AC423" s="365"/>
      <c r="AD423" s="365"/>
      <c r="AE423" s="365"/>
      <c r="AF423" s="365"/>
    </row>
    <row r="424" spans="1:38" s="119" customFormat="1" ht="18.75" customHeight="1" x14ac:dyDescent="0.15">
      <c r="A424" s="170"/>
      <c r="B424" s="171"/>
      <c r="C424" s="172"/>
      <c r="D424" s="173"/>
      <c r="E424" s="174"/>
      <c r="F424" s="175"/>
      <c r="G424" s="176"/>
      <c r="H424" s="95" t="s">
        <v>405</v>
      </c>
      <c r="I424" s="177" t="s">
        <v>348</v>
      </c>
      <c r="J424" s="96" t="s">
        <v>216</v>
      </c>
      <c r="K424" s="96"/>
      <c r="L424" s="178" t="s">
        <v>348</v>
      </c>
      <c r="M424" s="96" t="s">
        <v>373</v>
      </c>
      <c r="N424" s="97"/>
      <c r="O424" s="178" t="s">
        <v>348</v>
      </c>
      <c r="P424" s="99" t="s">
        <v>374</v>
      </c>
      <c r="Q424" s="98"/>
      <c r="R424" s="178" t="s">
        <v>348</v>
      </c>
      <c r="S424" s="96" t="s">
        <v>375</v>
      </c>
      <c r="T424" s="98"/>
      <c r="U424" s="178" t="s">
        <v>348</v>
      </c>
      <c r="V424" s="96" t="s">
        <v>376</v>
      </c>
      <c r="W424" s="100"/>
      <c r="X424" s="101"/>
      <c r="Y424" s="179"/>
      <c r="Z424" s="179"/>
      <c r="AA424" s="179"/>
      <c r="AB424" s="180"/>
      <c r="AC424" s="366"/>
      <c r="AD424" s="366"/>
      <c r="AE424" s="366"/>
      <c r="AF424" s="366"/>
      <c r="AI424" s="119" t="str">
        <f>"2A:shoguukaizen_code:"&amp;IF(I424="■",1,IF(L424="■",7,IF(O424="■",8,IF(R424="■",9,IF(U424="■","A",0)))))</f>
        <v>2A:shoguukaizen_code:0</v>
      </c>
    </row>
    <row r="425" spans="1:38" s="119" customFormat="1" ht="18.75" customHeight="1" x14ac:dyDescent="0.15">
      <c r="A425" s="253"/>
      <c r="B425" s="254"/>
      <c r="C425" s="132"/>
      <c r="D425" s="133"/>
      <c r="E425" s="135"/>
      <c r="F425" s="133"/>
      <c r="G425" s="126"/>
      <c r="H425" s="340" t="s">
        <v>96</v>
      </c>
      <c r="I425" s="140" t="s">
        <v>348</v>
      </c>
      <c r="J425" s="124" t="s">
        <v>265</v>
      </c>
      <c r="K425" s="137"/>
      <c r="L425" s="231"/>
      <c r="M425" s="136" t="s">
        <v>348</v>
      </c>
      <c r="N425" s="124" t="s">
        <v>293</v>
      </c>
      <c r="O425" s="232"/>
      <c r="P425" s="232"/>
      <c r="Q425" s="136" t="s">
        <v>348</v>
      </c>
      <c r="R425" s="124" t="s">
        <v>294</v>
      </c>
      <c r="S425" s="232"/>
      <c r="T425" s="232"/>
      <c r="U425" s="136" t="s">
        <v>348</v>
      </c>
      <c r="V425" s="124" t="s">
        <v>295</v>
      </c>
      <c r="W425" s="232"/>
      <c r="X425" s="213"/>
      <c r="Y425" s="136" t="s">
        <v>348</v>
      </c>
      <c r="Z425" s="124" t="s">
        <v>215</v>
      </c>
      <c r="AA425" s="124"/>
      <c r="AB425" s="139"/>
      <c r="AC425" s="363"/>
      <c r="AD425" s="363"/>
      <c r="AE425" s="363"/>
      <c r="AF425" s="363"/>
      <c r="AG425" s="119" t="str">
        <f>"ser_code = '" &amp; IF(A437="■","2A","") &amp; "'"</f>
        <v>ser_code = ''</v>
      </c>
      <c r="AH425" s="119" t="str">
        <f>"2A:jininkbn_code:"&amp;IF(F436="■",1,IF(F437="■",2,IF(F438="■",3,0)))</f>
        <v>2A:jininkbn_code:0</v>
      </c>
      <c r="AI425" s="119" t="str">
        <f>"2A:yakan_kinmu_code:" &amp; IF(I425="■",1,IF(M425="■",2,IF(Q425="■",3,IF(U425="■",7,IF(I426="■",5,IF(M426="■",6,0))))))</f>
        <v>2A:yakan_kinmu_code:0</v>
      </c>
      <c r="AJ425" s="119" t="str">
        <f>"2A:field203:" &amp; IF(Y425="■",1,IF(Y426="■",2,0))</f>
        <v>2A:field203:0</v>
      </c>
    </row>
    <row r="426" spans="1:38" s="119" customFormat="1" ht="18.75" customHeight="1" x14ac:dyDescent="0.15">
      <c r="A426" s="255"/>
      <c r="B426" s="256"/>
      <c r="C426" s="109"/>
      <c r="D426" s="110"/>
      <c r="E426" s="113"/>
      <c r="F426" s="110"/>
      <c r="G426" s="111"/>
      <c r="H426" s="371"/>
      <c r="I426" s="143" t="s">
        <v>348</v>
      </c>
      <c r="J426" s="115" t="s">
        <v>296</v>
      </c>
      <c r="K426" s="166"/>
      <c r="L426" s="116"/>
      <c r="M426" s="191" t="s">
        <v>348</v>
      </c>
      <c r="N426" s="115" t="s">
        <v>266</v>
      </c>
      <c r="O426" s="144"/>
      <c r="P426" s="144"/>
      <c r="Q426" s="144"/>
      <c r="R426" s="144"/>
      <c r="S426" s="144"/>
      <c r="T426" s="144"/>
      <c r="U426" s="144"/>
      <c r="V426" s="144"/>
      <c r="W426" s="144"/>
      <c r="X426" s="226"/>
      <c r="Y426" s="123" t="s">
        <v>348</v>
      </c>
      <c r="Z426" s="104" t="s">
        <v>221</v>
      </c>
      <c r="AA426" s="105"/>
      <c r="AB426" s="106"/>
      <c r="AC426" s="364"/>
      <c r="AD426" s="364"/>
      <c r="AE426" s="364"/>
      <c r="AF426" s="364"/>
      <c r="AG426" s="119" t="str">
        <f>"2A:sisetukbn_code:"&amp;IF(D437="■","2",0)</f>
        <v>2A:sisetukbn_code:0</v>
      </c>
    </row>
    <row r="427" spans="1:38" s="119" customFormat="1" ht="18.75" customHeight="1" x14ac:dyDescent="0.15">
      <c r="A427" s="255"/>
      <c r="B427" s="256"/>
      <c r="C427" s="109"/>
      <c r="D427" s="110"/>
      <c r="E427" s="113"/>
      <c r="F427" s="110"/>
      <c r="G427" s="111"/>
      <c r="H427" s="370" t="s">
        <v>92</v>
      </c>
      <c r="I427" s="194" t="s">
        <v>348</v>
      </c>
      <c r="J427" s="160" t="s">
        <v>216</v>
      </c>
      <c r="K427" s="160"/>
      <c r="L427" s="205"/>
      <c r="M427" s="195" t="s">
        <v>348</v>
      </c>
      <c r="N427" s="160" t="s">
        <v>254</v>
      </c>
      <c r="O427" s="160"/>
      <c r="P427" s="205"/>
      <c r="Q427" s="195" t="s">
        <v>348</v>
      </c>
      <c r="R427" s="198" t="s">
        <v>337</v>
      </c>
      <c r="S427" s="198"/>
      <c r="T427" s="198"/>
      <c r="U427" s="241"/>
      <c r="V427" s="205"/>
      <c r="W427" s="198"/>
      <c r="X427" s="242"/>
      <c r="Y427" s="147"/>
      <c r="Z427" s="105"/>
      <c r="AA427" s="105"/>
      <c r="AB427" s="106"/>
      <c r="AC427" s="365"/>
      <c r="AD427" s="365"/>
      <c r="AE427" s="365"/>
      <c r="AF427" s="365"/>
      <c r="AI427" s="119" t="str">
        <f>"2A:"&amp;IF(AND(I427="□",M427="□",Q427="□",I428="□",M428="□"),"ketu_doctor_code:0",IF(I427="■","ketu_doctor_code:1:field197:1:ketu_kangos_code:1:ketu_kshoku_code:1",IF(M427="■","ketu_doctor_code:2","ketu_doctor_code:1")
&amp;IF(Q427="■",":field197:2",":field197:1")
&amp;IF(I428="■",":ketu_kangos_code:2",":ketu_kangos_code:1")
&amp;IF(M428="■",":ketu_kshoku_code:2",":ketu_kshoku_code:1")))</f>
        <v>2A:ketu_doctor_code:0</v>
      </c>
    </row>
    <row r="428" spans="1:38" s="119" customFormat="1" ht="18.75" customHeight="1" x14ac:dyDescent="0.15">
      <c r="A428" s="255"/>
      <c r="B428" s="256"/>
      <c r="C428" s="109"/>
      <c r="D428" s="110"/>
      <c r="E428" s="113"/>
      <c r="F428" s="110"/>
      <c r="G428" s="111"/>
      <c r="H428" s="371"/>
      <c r="I428" s="143" t="s">
        <v>348</v>
      </c>
      <c r="J428" s="144" t="s">
        <v>338</v>
      </c>
      <c r="K428" s="144"/>
      <c r="L428" s="144"/>
      <c r="M428" s="191" t="s">
        <v>348</v>
      </c>
      <c r="N428" s="144" t="s">
        <v>339</v>
      </c>
      <c r="O428" s="116"/>
      <c r="P428" s="144"/>
      <c r="Q428" s="144"/>
      <c r="R428" s="116"/>
      <c r="S428" s="144"/>
      <c r="T428" s="144"/>
      <c r="U428" s="145"/>
      <c r="V428" s="116"/>
      <c r="W428" s="144"/>
      <c r="X428" s="146"/>
      <c r="Y428" s="147"/>
      <c r="Z428" s="105"/>
      <c r="AA428" s="105"/>
      <c r="AB428" s="106"/>
      <c r="AC428" s="365"/>
      <c r="AD428" s="365"/>
      <c r="AE428" s="365"/>
      <c r="AF428" s="365"/>
    </row>
    <row r="429" spans="1:38" s="119" customFormat="1" ht="18.75" customHeight="1" x14ac:dyDescent="0.15">
      <c r="A429" s="107"/>
      <c r="B429" s="108"/>
      <c r="C429" s="238"/>
      <c r="D429" s="239"/>
      <c r="E429" s="111"/>
      <c r="F429" s="112"/>
      <c r="G429" s="113"/>
      <c r="H429" s="230" t="s">
        <v>103</v>
      </c>
      <c r="I429" s="148" t="s">
        <v>348</v>
      </c>
      <c r="J429" s="149" t="s">
        <v>360</v>
      </c>
      <c r="K429" s="150"/>
      <c r="L429" s="151"/>
      <c r="M429" s="152" t="s">
        <v>348</v>
      </c>
      <c r="N429" s="149" t="s">
        <v>361</v>
      </c>
      <c r="O429" s="150"/>
      <c r="P429" s="150"/>
      <c r="Q429" s="150"/>
      <c r="R429" s="150"/>
      <c r="S429" s="150"/>
      <c r="T429" s="150"/>
      <c r="U429" s="150"/>
      <c r="V429" s="150"/>
      <c r="W429" s="150"/>
      <c r="X429" s="159"/>
      <c r="Y429" s="147"/>
      <c r="Z429" s="105"/>
      <c r="AA429" s="105"/>
      <c r="AB429" s="106"/>
      <c r="AC429" s="365"/>
      <c r="AD429" s="365"/>
      <c r="AE429" s="365"/>
      <c r="AF429" s="365"/>
      <c r="AI429" s="119" t="str">
        <f>"2A:sintaikousoku_code:" &amp; IF(I429="■",1,IF(M429="■",2,0))</f>
        <v>2A:sintaikousoku_code:0</v>
      </c>
    </row>
    <row r="430" spans="1:38" s="119" customFormat="1" ht="19.5" customHeight="1" x14ac:dyDescent="0.15">
      <c r="A430" s="107"/>
      <c r="B430" s="108"/>
      <c r="C430" s="109"/>
      <c r="D430" s="110"/>
      <c r="E430" s="111"/>
      <c r="F430" s="112"/>
      <c r="G430" s="113"/>
      <c r="H430" s="114" t="s">
        <v>369</v>
      </c>
      <c r="I430" s="148" t="s">
        <v>348</v>
      </c>
      <c r="J430" s="149" t="s">
        <v>360</v>
      </c>
      <c r="K430" s="150"/>
      <c r="L430" s="151"/>
      <c r="M430" s="152" t="s">
        <v>348</v>
      </c>
      <c r="N430" s="149" t="s">
        <v>370</v>
      </c>
      <c r="O430" s="153"/>
      <c r="P430" s="149"/>
      <c r="Q430" s="154"/>
      <c r="R430" s="154"/>
      <c r="S430" s="154"/>
      <c r="T430" s="154"/>
      <c r="U430" s="154"/>
      <c r="V430" s="154"/>
      <c r="W430" s="154"/>
      <c r="X430" s="155"/>
      <c r="Y430" s="105"/>
      <c r="Z430" s="105"/>
      <c r="AA430" s="105"/>
      <c r="AB430" s="106"/>
      <c r="AC430" s="365"/>
      <c r="AD430" s="365"/>
      <c r="AE430" s="365"/>
      <c r="AF430" s="365"/>
      <c r="AI430" s="119" t="str">
        <f>"2A:field223:" &amp; IF(I430="■",1,IF(M430="■",2,0))</f>
        <v>2A:field223:0</v>
      </c>
    </row>
    <row r="431" spans="1:38" s="119" customFormat="1" ht="19.5" customHeight="1" x14ac:dyDescent="0.15">
      <c r="A431" s="107"/>
      <c r="B431" s="108"/>
      <c r="C431" s="109"/>
      <c r="D431" s="110"/>
      <c r="E431" s="111"/>
      <c r="F431" s="112"/>
      <c r="G431" s="113"/>
      <c r="H431" s="114" t="s">
        <v>390</v>
      </c>
      <c r="I431" s="148" t="s">
        <v>348</v>
      </c>
      <c r="J431" s="149" t="s">
        <v>360</v>
      </c>
      <c r="K431" s="150"/>
      <c r="L431" s="151"/>
      <c r="M431" s="152" t="s">
        <v>348</v>
      </c>
      <c r="N431" s="149" t="s">
        <v>370</v>
      </c>
      <c r="O431" s="153"/>
      <c r="P431" s="149"/>
      <c r="Q431" s="154"/>
      <c r="R431" s="154"/>
      <c r="S431" s="154"/>
      <c r="T431" s="154"/>
      <c r="U431" s="154"/>
      <c r="V431" s="154"/>
      <c r="W431" s="154"/>
      <c r="X431" s="155"/>
      <c r="Y431" s="105"/>
      <c r="Z431" s="105"/>
      <c r="AA431" s="105"/>
      <c r="AB431" s="106"/>
      <c r="AC431" s="365"/>
      <c r="AD431" s="365"/>
      <c r="AE431" s="365"/>
      <c r="AF431" s="365"/>
      <c r="AI431" s="119" t="str">
        <f>"2A:field232:" &amp; IF(I431="■",1,IF(M431="■",2,0))</f>
        <v>2A:field232:0</v>
      </c>
    </row>
    <row r="432" spans="1:38" ht="19.5" customHeight="1" x14ac:dyDescent="0.15">
      <c r="A432" s="107"/>
      <c r="B432" s="108"/>
      <c r="C432" s="109"/>
      <c r="D432" s="110"/>
      <c r="E432" s="111"/>
      <c r="F432" s="112"/>
      <c r="G432" s="113"/>
      <c r="H432" s="114" t="s">
        <v>455</v>
      </c>
      <c r="I432" s="148" t="s">
        <v>348</v>
      </c>
      <c r="J432" s="115" t="s">
        <v>453</v>
      </c>
      <c r="K432" s="166"/>
      <c r="L432" s="116"/>
      <c r="M432" s="152" t="s">
        <v>348</v>
      </c>
      <c r="N432" s="115" t="s">
        <v>454</v>
      </c>
      <c r="O432" s="236"/>
      <c r="P432" s="115"/>
      <c r="Q432" s="145"/>
      <c r="R432" s="145"/>
      <c r="S432" s="145"/>
      <c r="T432" s="145"/>
      <c r="U432" s="145"/>
      <c r="V432" s="145"/>
      <c r="W432" s="145"/>
      <c r="X432" s="146"/>
      <c r="Y432" s="162"/>
      <c r="Z432" s="104"/>
      <c r="AA432" s="105"/>
      <c r="AB432" s="106"/>
      <c r="AC432" s="365"/>
      <c r="AD432" s="365"/>
      <c r="AE432" s="365"/>
      <c r="AF432" s="365"/>
      <c r="AG432" s="103"/>
      <c r="AH432" s="103"/>
      <c r="AI432" s="119" t="str">
        <f>"2A:field242:" &amp; IF(I432="■",1,IF(M432="■",2,0))</f>
        <v>2A:field242:0</v>
      </c>
      <c r="AJ432" s="103"/>
      <c r="AK432" s="103"/>
      <c r="AL432" s="103"/>
    </row>
    <row r="433" spans="1:35" s="119" customFormat="1" ht="18.75" customHeight="1" x14ac:dyDescent="0.15">
      <c r="A433" s="255"/>
      <c r="B433" s="256"/>
      <c r="C433" s="109"/>
      <c r="D433" s="110"/>
      <c r="E433" s="113"/>
      <c r="F433" s="110"/>
      <c r="G433" s="111"/>
      <c r="H433" s="230" t="s">
        <v>149</v>
      </c>
      <c r="I433" s="148" t="s">
        <v>348</v>
      </c>
      <c r="J433" s="149" t="s">
        <v>265</v>
      </c>
      <c r="K433" s="150"/>
      <c r="L433" s="151"/>
      <c r="M433" s="152" t="s">
        <v>348</v>
      </c>
      <c r="N433" s="149" t="s">
        <v>297</v>
      </c>
      <c r="O433" s="154"/>
      <c r="P433" s="154"/>
      <c r="Q433" s="154"/>
      <c r="R433" s="154"/>
      <c r="S433" s="154"/>
      <c r="T433" s="154"/>
      <c r="U433" s="154"/>
      <c r="V433" s="154"/>
      <c r="W433" s="154"/>
      <c r="X433" s="155"/>
      <c r="Y433" s="147"/>
      <c r="Z433" s="105"/>
      <c r="AA433" s="105"/>
      <c r="AB433" s="106"/>
      <c r="AC433" s="365"/>
      <c r="AD433" s="365"/>
      <c r="AE433" s="365"/>
      <c r="AF433" s="365"/>
      <c r="AI433" s="119" t="str">
        <f>"2A:field190:" &amp; IF(I433="■",1,IF(M433="■",2,0))</f>
        <v>2A:field190:0</v>
      </c>
    </row>
    <row r="434" spans="1:35" s="119" customFormat="1" ht="18.75" customHeight="1" x14ac:dyDescent="0.15">
      <c r="A434" s="255"/>
      <c r="B434" s="256"/>
      <c r="C434" s="109"/>
      <c r="D434" s="110"/>
      <c r="E434" s="113"/>
      <c r="F434" s="110"/>
      <c r="G434" s="111"/>
      <c r="H434" s="230" t="s">
        <v>150</v>
      </c>
      <c r="I434" s="148" t="s">
        <v>348</v>
      </c>
      <c r="J434" s="149" t="s">
        <v>265</v>
      </c>
      <c r="K434" s="150"/>
      <c r="L434" s="151"/>
      <c r="M434" s="152" t="s">
        <v>348</v>
      </c>
      <c r="N434" s="149" t="s">
        <v>297</v>
      </c>
      <c r="O434" s="154"/>
      <c r="P434" s="154"/>
      <c r="Q434" s="154"/>
      <c r="R434" s="154"/>
      <c r="S434" s="154"/>
      <c r="T434" s="154"/>
      <c r="U434" s="154"/>
      <c r="V434" s="154"/>
      <c r="W434" s="154"/>
      <c r="X434" s="155"/>
      <c r="Y434" s="147"/>
      <c r="Z434" s="105"/>
      <c r="AA434" s="105"/>
      <c r="AB434" s="106"/>
      <c r="AC434" s="365"/>
      <c r="AD434" s="365"/>
      <c r="AE434" s="365"/>
      <c r="AF434" s="365"/>
      <c r="AI434" s="119" t="str">
        <f>"2A:field191:" &amp; IF(I434="■",1,IF(M434="■",2,0))</f>
        <v>2A:field191:0</v>
      </c>
    </row>
    <row r="435" spans="1:35" s="119" customFormat="1" ht="18.75" customHeight="1" x14ac:dyDescent="0.15">
      <c r="A435" s="255"/>
      <c r="B435" s="256"/>
      <c r="C435" s="109"/>
      <c r="D435" s="110"/>
      <c r="E435" s="113"/>
      <c r="F435" s="110"/>
      <c r="G435" s="111"/>
      <c r="H435" s="230" t="s">
        <v>104</v>
      </c>
      <c r="I435" s="148" t="s">
        <v>348</v>
      </c>
      <c r="J435" s="149" t="s">
        <v>216</v>
      </c>
      <c r="K435" s="150"/>
      <c r="L435" s="152" t="s">
        <v>348</v>
      </c>
      <c r="M435" s="149" t="s">
        <v>232</v>
      </c>
      <c r="N435" s="154"/>
      <c r="O435" s="154"/>
      <c r="P435" s="154"/>
      <c r="Q435" s="154"/>
      <c r="R435" s="154"/>
      <c r="S435" s="154"/>
      <c r="T435" s="154"/>
      <c r="U435" s="154"/>
      <c r="V435" s="154"/>
      <c r="W435" s="154"/>
      <c r="X435" s="155"/>
      <c r="Y435" s="147"/>
      <c r="Z435" s="105"/>
      <c r="AA435" s="105"/>
      <c r="AB435" s="106"/>
      <c r="AC435" s="365"/>
      <c r="AD435" s="365"/>
      <c r="AE435" s="365"/>
      <c r="AF435" s="365"/>
      <c r="AI435" s="119" t="str">
        <f>"2A:jyakuninti_uke_code:" &amp; IF(I435="■",1,IF(L435="■",2,0))</f>
        <v>2A:jyakuninti_uke_code:0</v>
      </c>
    </row>
    <row r="436" spans="1:35" s="119" customFormat="1" ht="18.75" customHeight="1" x14ac:dyDescent="0.15">
      <c r="A436" s="255"/>
      <c r="B436" s="256"/>
      <c r="C436" s="109"/>
      <c r="D436" s="110"/>
      <c r="E436" s="113"/>
      <c r="F436" s="123" t="s">
        <v>348</v>
      </c>
      <c r="G436" s="111" t="s">
        <v>340</v>
      </c>
      <c r="H436" s="230" t="s">
        <v>94</v>
      </c>
      <c r="I436" s="148" t="s">
        <v>348</v>
      </c>
      <c r="J436" s="149" t="s">
        <v>230</v>
      </c>
      <c r="K436" s="150"/>
      <c r="L436" s="151"/>
      <c r="M436" s="152" t="s">
        <v>348</v>
      </c>
      <c r="N436" s="149" t="s">
        <v>231</v>
      </c>
      <c r="O436" s="154"/>
      <c r="P436" s="154"/>
      <c r="Q436" s="154"/>
      <c r="R436" s="154"/>
      <c r="S436" s="154"/>
      <c r="T436" s="154"/>
      <c r="U436" s="154"/>
      <c r="V436" s="154"/>
      <c r="W436" s="154"/>
      <c r="X436" s="155"/>
      <c r="Y436" s="147"/>
      <c r="Z436" s="105"/>
      <c r="AA436" s="105"/>
      <c r="AB436" s="106"/>
      <c r="AC436" s="365"/>
      <c r="AD436" s="365"/>
      <c r="AE436" s="365"/>
      <c r="AF436" s="365"/>
      <c r="AI436" s="119" t="str">
        <f>"2A:sougei_code:" &amp; IF(I436="■",1,IF(M436="■",2,0))</f>
        <v>2A:sougei_code:0</v>
      </c>
    </row>
    <row r="437" spans="1:35" s="119" customFormat="1" ht="19.5" customHeight="1" x14ac:dyDescent="0.15">
      <c r="A437" s="128" t="s">
        <v>348</v>
      </c>
      <c r="B437" s="256" t="s">
        <v>191</v>
      </c>
      <c r="C437" s="109" t="s">
        <v>172</v>
      </c>
      <c r="D437" s="123" t="s">
        <v>348</v>
      </c>
      <c r="E437" s="113" t="s">
        <v>343</v>
      </c>
      <c r="F437" s="123" t="s">
        <v>348</v>
      </c>
      <c r="G437" s="111" t="s">
        <v>341</v>
      </c>
      <c r="H437" s="114" t="s">
        <v>372</v>
      </c>
      <c r="I437" s="148" t="s">
        <v>348</v>
      </c>
      <c r="J437" s="149" t="s">
        <v>216</v>
      </c>
      <c r="K437" s="149"/>
      <c r="L437" s="152" t="s">
        <v>348</v>
      </c>
      <c r="M437" s="149" t="s">
        <v>232</v>
      </c>
      <c r="N437" s="149"/>
      <c r="O437" s="154"/>
      <c r="P437" s="149"/>
      <c r="Q437" s="154"/>
      <c r="R437" s="154"/>
      <c r="S437" s="154"/>
      <c r="T437" s="154"/>
      <c r="U437" s="154"/>
      <c r="V437" s="154"/>
      <c r="W437" s="154"/>
      <c r="X437" s="155"/>
      <c r="Y437" s="105"/>
      <c r="Z437" s="105"/>
      <c r="AA437" s="105"/>
      <c r="AB437" s="106"/>
      <c r="AC437" s="365"/>
      <c r="AD437" s="365"/>
      <c r="AE437" s="365"/>
      <c r="AF437" s="365"/>
      <c r="AI437" s="119" t="str">
        <f>"2A:field224:" &amp; IF(I437="■",1,IF(L437="■",2,0))</f>
        <v>2A:field224:0</v>
      </c>
    </row>
    <row r="438" spans="1:35" s="119" customFormat="1" ht="18.75" customHeight="1" x14ac:dyDescent="0.15">
      <c r="A438" s="255"/>
      <c r="B438" s="256"/>
      <c r="C438" s="109"/>
      <c r="D438" s="110"/>
      <c r="E438" s="113"/>
      <c r="F438" s="123" t="s">
        <v>348</v>
      </c>
      <c r="G438" s="111" t="s">
        <v>342</v>
      </c>
      <c r="H438" s="230" t="s">
        <v>106</v>
      </c>
      <c r="I438" s="148" t="s">
        <v>348</v>
      </c>
      <c r="J438" s="149" t="s">
        <v>216</v>
      </c>
      <c r="K438" s="150"/>
      <c r="L438" s="152" t="s">
        <v>348</v>
      </c>
      <c r="M438" s="149" t="s">
        <v>232</v>
      </c>
      <c r="N438" s="154"/>
      <c r="O438" s="154"/>
      <c r="P438" s="154"/>
      <c r="Q438" s="154"/>
      <c r="R438" s="154"/>
      <c r="S438" s="154"/>
      <c r="T438" s="154"/>
      <c r="U438" s="154"/>
      <c r="V438" s="154"/>
      <c r="W438" s="154"/>
      <c r="X438" s="155"/>
      <c r="Y438" s="147"/>
      <c r="Z438" s="105"/>
      <c r="AA438" s="105"/>
      <c r="AB438" s="106"/>
      <c r="AC438" s="365"/>
      <c r="AD438" s="365"/>
      <c r="AE438" s="365"/>
      <c r="AF438" s="365"/>
      <c r="AI438" s="119" t="str">
        <f>"2A:ryouyoushoku_code:" &amp; IF(I438="■",1,IF(L438="■",2,0))</f>
        <v>2A:ryouyoushoku_code:0</v>
      </c>
    </row>
    <row r="439" spans="1:35" s="119" customFormat="1" ht="18.75" customHeight="1" x14ac:dyDescent="0.15">
      <c r="A439" s="255"/>
      <c r="B439" s="256"/>
      <c r="C439" s="109"/>
      <c r="D439" s="110"/>
      <c r="E439" s="113"/>
      <c r="F439" s="110"/>
      <c r="G439" s="111"/>
      <c r="H439" s="230" t="s">
        <v>109</v>
      </c>
      <c r="I439" s="148" t="s">
        <v>348</v>
      </c>
      <c r="J439" s="149" t="s">
        <v>216</v>
      </c>
      <c r="K439" s="149"/>
      <c r="L439" s="152" t="s">
        <v>348</v>
      </c>
      <c r="M439" s="149" t="s">
        <v>217</v>
      </c>
      <c r="N439" s="149"/>
      <c r="O439" s="152" t="s">
        <v>348</v>
      </c>
      <c r="P439" s="149" t="s">
        <v>218</v>
      </c>
      <c r="Q439" s="154"/>
      <c r="R439" s="154"/>
      <c r="S439" s="154"/>
      <c r="T439" s="154"/>
      <c r="U439" s="154"/>
      <c r="V439" s="154"/>
      <c r="W439" s="154"/>
      <c r="X439" s="155"/>
      <c r="Y439" s="147"/>
      <c r="Z439" s="105"/>
      <c r="AA439" s="105"/>
      <c r="AB439" s="106"/>
      <c r="AC439" s="365"/>
      <c r="AD439" s="365"/>
      <c r="AE439" s="365"/>
      <c r="AF439" s="365"/>
      <c r="AI439" s="119" t="str">
        <f>"2A:ninti_senmoncare_code:" &amp; IF(I439="■",1,IF(O439="■",3,IF(L439="■",2,0)))</f>
        <v>2A:ninti_senmoncare_code:0</v>
      </c>
    </row>
    <row r="440" spans="1:35" s="119" customFormat="1" ht="18.75" customHeight="1" x14ac:dyDescent="0.15">
      <c r="A440" s="255"/>
      <c r="B440" s="256"/>
      <c r="C440" s="109"/>
      <c r="D440" s="110"/>
      <c r="E440" s="113"/>
      <c r="F440" s="110"/>
      <c r="G440" s="111"/>
      <c r="H440" s="230" t="s">
        <v>129</v>
      </c>
      <c r="I440" s="148" t="s">
        <v>348</v>
      </c>
      <c r="J440" s="149" t="s">
        <v>216</v>
      </c>
      <c r="K440" s="149"/>
      <c r="L440" s="152" t="s">
        <v>348</v>
      </c>
      <c r="M440" s="149" t="s">
        <v>217</v>
      </c>
      <c r="N440" s="149"/>
      <c r="O440" s="152" t="s">
        <v>348</v>
      </c>
      <c r="P440" s="149" t="s">
        <v>218</v>
      </c>
      <c r="Q440" s="154"/>
      <c r="R440" s="154"/>
      <c r="S440" s="154"/>
      <c r="T440" s="154"/>
      <c r="U440" s="154"/>
      <c r="V440" s="154"/>
      <c r="W440" s="154"/>
      <c r="X440" s="155"/>
      <c r="Y440" s="147"/>
      <c r="Z440" s="105"/>
      <c r="AA440" s="105"/>
      <c r="AB440" s="106"/>
      <c r="AC440" s="365"/>
      <c r="AD440" s="365"/>
      <c r="AE440" s="365"/>
      <c r="AF440" s="365"/>
      <c r="AI440" s="119" t="str">
        <f>"2A:field164:" &amp; IF(I440="■",1,IF(L440="■",2,IF(O440="■",3,0)))</f>
        <v>2A:field164:0</v>
      </c>
    </row>
    <row r="441" spans="1:35" s="119" customFormat="1" ht="18.75" customHeight="1" x14ac:dyDescent="0.15">
      <c r="A441" s="255"/>
      <c r="B441" s="256"/>
      <c r="C441" s="109"/>
      <c r="D441" s="110"/>
      <c r="E441" s="113"/>
      <c r="F441" s="110"/>
      <c r="G441" s="111"/>
      <c r="H441" s="370" t="s">
        <v>137</v>
      </c>
      <c r="I441" s="194" t="s">
        <v>348</v>
      </c>
      <c r="J441" s="160" t="s">
        <v>285</v>
      </c>
      <c r="K441" s="160"/>
      <c r="L441" s="241"/>
      <c r="M441" s="241"/>
      <c r="N441" s="241"/>
      <c r="O441" s="241"/>
      <c r="P441" s="195" t="s">
        <v>348</v>
      </c>
      <c r="Q441" s="160" t="s">
        <v>286</v>
      </c>
      <c r="R441" s="241"/>
      <c r="S441" s="241"/>
      <c r="T441" s="241"/>
      <c r="U441" s="241"/>
      <c r="V441" s="241"/>
      <c r="W441" s="241"/>
      <c r="X441" s="242"/>
      <c r="Y441" s="147"/>
      <c r="Z441" s="105"/>
      <c r="AA441" s="105"/>
      <c r="AB441" s="106"/>
      <c r="AC441" s="365"/>
      <c r="AD441" s="365"/>
      <c r="AE441" s="365"/>
      <c r="AF441" s="365"/>
      <c r="AI441" s="119" t="str">
        <f>"2A:" &amp; IF(AND(I441="□",P441="□",I442="□"),"tokusin_jyusho_code:0:tokusin_yakuzai_code:0:shuudan_comu_code:0",IF(I441="■","tokusin_jyusho_code:2","tokusin_jyusho_code:1")
&amp;IF(P441="■",":tokusin_yakuzai_code:2",":tokusin_yakuzai_code:1")
&amp;IF(I442="■",":shuudan_comu_code:2",":shuudan_comu_code:1"))</f>
        <v>2A:tokusin_jyusho_code:0:tokusin_yakuzai_code:0:shuudan_comu_code:0</v>
      </c>
    </row>
    <row r="442" spans="1:35" s="119" customFormat="1" ht="18.75" customHeight="1" x14ac:dyDescent="0.15">
      <c r="A442" s="255"/>
      <c r="B442" s="256"/>
      <c r="C442" s="109"/>
      <c r="D442" s="110"/>
      <c r="E442" s="113"/>
      <c r="F442" s="110"/>
      <c r="G442" s="111"/>
      <c r="H442" s="371"/>
      <c r="I442" s="143" t="s">
        <v>348</v>
      </c>
      <c r="J442" s="115" t="s">
        <v>299</v>
      </c>
      <c r="K442" s="145"/>
      <c r="L442" s="145"/>
      <c r="M442" s="145"/>
      <c r="N442" s="145"/>
      <c r="O442" s="145"/>
      <c r="P442" s="145"/>
      <c r="Q442" s="144"/>
      <c r="R442" s="145"/>
      <c r="S442" s="145"/>
      <c r="T442" s="145"/>
      <c r="U442" s="145"/>
      <c r="V442" s="145"/>
      <c r="W442" s="145"/>
      <c r="X442" s="146"/>
      <c r="Y442" s="147"/>
      <c r="Z442" s="105"/>
      <c r="AA442" s="105"/>
      <c r="AB442" s="106"/>
      <c r="AC442" s="365"/>
      <c r="AD442" s="365"/>
      <c r="AE442" s="365"/>
      <c r="AF442" s="365"/>
    </row>
    <row r="443" spans="1:35" s="119" customFormat="1" ht="18.75" customHeight="1" x14ac:dyDescent="0.15">
      <c r="A443" s="255"/>
      <c r="B443" s="256"/>
      <c r="C443" s="109"/>
      <c r="D443" s="110"/>
      <c r="E443" s="113"/>
      <c r="F443" s="110"/>
      <c r="G443" s="111"/>
      <c r="H443" s="370" t="s">
        <v>102</v>
      </c>
      <c r="I443" s="194" t="s">
        <v>348</v>
      </c>
      <c r="J443" s="160" t="s">
        <v>300</v>
      </c>
      <c r="K443" s="168"/>
      <c r="L443" s="205"/>
      <c r="M443" s="195" t="s">
        <v>348</v>
      </c>
      <c r="N443" s="160" t="s">
        <v>301</v>
      </c>
      <c r="O443" s="241"/>
      <c r="P443" s="241"/>
      <c r="Q443" s="195" t="s">
        <v>348</v>
      </c>
      <c r="R443" s="160" t="s">
        <v>302</v>
      </c>
      <c r="S443" s="241"/>
      <c r="T443" s="241"/>
      <c r="U443" s="241"/>
      <c r="V443" s="241"/>
      <c r="W443" s="241"/>
      <c r="X443" s="242"/>
      <c r="Y443" s="147"/>
      <c r="Z443" s="105"/>
      <c r="AA443" s="105"/>
      <c r="AB443" s="106"/>
      <c r="AC443" s="365"/>
      <c r="AD443" s="365"/>
      <c r="AE443" s="365"/>
      <c r="AF443" s="365"/>
      <c r="AI443" s="119" t="str">
        <f>"2A:"&amp;IF(AND(I443="□",M443="□",Q443="□",I444="□",Q444="□"),"koriha_rryoho1_code:0:koriha_sryoho_code:0:koriha_gengo_code:0:riha_seisin_code:0:koriha_other_code:0",IF(I443="■","koriha_rryoho1_code:2","koriha_rryoho1_code:1")
&amp;IF(M443="■",":koriha_sryoho_code:2",":koriha_sryoho_code:1")
&amp;IF(Q443="■",":koriha_gengo_code:2",":koriha_gengo_code:1")
&amp;IF(I444="■",":riha_seisin_code:2",":riha_seisin_code:1")
&amp;IF(Q444="■",":koriha_other_code:2",":koriha_other_code:1"))</f>
        <v>2A:koriha_rryoho1_code:0:koriha_sryoho_code:0:koriha_gengo_code:0:riha_seisin_code:0:koriha_other_code:0</v>
      </c>
    </row>
    <row r="444" spans="1:35" s="119" customFormat="1" ht="18.75" customHeight="1" x14ac:dyDescent="0.15">
      <c r="A444" s="255"/>
      <c r="B444" s="256"/>
      <c r="C444" s="109"/>
      <c r="D444" s="110"/>
      <c r="E444" s="113"/>
      <c r="F444" s="110"/>
      <c r="G444" s="111"/>
      <c r="H444" s="371"/>
      <c r="I444" s="143" t="s">
        <v>348</v>
      </c>
      <c r="J444" s="115" t="s">
        <v>303</v>
      </c>
      <c r="K444" s="145"/>
      <c r="L444" s="145"/>
      <c r="M444" s="145"/>
      <c r="N444" s="145"/>
      <c r="O444" s="145"/>
      <c r="P444" s="145"/>
      <c r="Q444" s="191" t="s">
        <v>348</v>
      </c>
      <c r="R444" s="115" t="s">
        <v>304</v>
      </c>
      <c r="S444" s="144"/>
      <c r="T444" s="145"/>
      <c r="U444" s="145"/>
      <c r="V444" s="145"/>
      <c r="W444" s="145"/>
      <c r="X444" s="146"/>
      <c r="Y444" s="147"/>
      <c r="Z444" s="105"/>
      <c r="AA444" s="105"/>
      <c r="AB444" s="106"/>
      <c r="AC444" s="365"/>
      <c r="AD444" s="365"/>
      <c r="AE444" s="365"/>
      <c r="AF444" s="365"/>
    </row>
    <row r="445" spans="1:35" s="119" customFormat="1" ht="18.75" customHeight="1" x14ac:dyDescent="0.15">
      <c r="A445" s="255"/>
      <c r="B445" s="256"/>
      <c r="C445" s="109"/>
      <c r="D445" s="110"/>
      <c r="E445" s="113"/>
      <c r="F445" s="110"/>
      <c r="G445" s="111"/>
      <c r="H445" s="240" t="s">
        <v>385</v>
      </c>
      <c r="I445" s="148" t="s">
        <v>348</v>
      </c>
      <c r="J445" s="149" t="s">
        <v>216</v>
      </c>
      <c r="K445" s="149"/>
      <c r="L445" s="152" t="s">
        <v>348</v>
      </c>
      <c r="M445" s="149" t="s">
        <v>217</v>
      </c>
      <c r="N445" s="149"/>
      <c r="O445" s="152" t="s">
        <v>348</v>
      </c>
      <c r="P445" s="149" t="s">
        <v>218</v>
      </c>
      <c r="Q445" s="154"/>
      <c r="R445" s="154"/>
      <c r="S445" s="154"/>
      <c r="T445" s="154"/>
      <c r="U445" s="241"/>
      <c r="V445" s="241"/>
      <c r="W445" s="241"/>
      <c r="X445" s="242"/>
      <c r="Y445" s="147"/>
      <c r="Z445" s="105"/>
      <c r="AA445" s="105"/>
      <c r="AB445" s="106"/>
      <c r="AC445" s="365"/>
      <c r="AD445" s="365"/>
      <c r="AE445" s="365"/>
      <c r="AF445" s="365"/>
      <c r="AI445" s="119" t="str">
        <f>"2A:field225:" &amp; IF(I445="■",1,IF(L445="■",2,IF(O445="■",3,0)))</f>
        <v>2A:field225:0</v>
      </c>
    </row>
    <row r="446" spans="1:35" s="119" customFormat="1" ht="18.75" customHeight="1" x14ac:dyDescent="0.15">
      <c r="A446" s="255"/>
      <c r="B446" s="256"/>
      <c r="C446" s="109"/>
      <c r="D446" s="110"/>
      <c r="E446" s="113"/>
      <c r="F446" s="110"/>
      <c r="G446" s="111"/>
      <c r="H446" s="157" t="s">
        <v>111</v>
      </c>
      <c r="I446" s="148" t="s">
        <v>348</v>
      </c>
      <c r="J446" s="149" t="s">
        <v>216</v>
      </c>
      <c r="K446" s="149"/>
      <c r="L446" s="152" t="s">
        <v>348</v>
      </c>
      <c r="M446" s="149" t="s">
        <v>224</v>
      </c>
      <c r="N446" s="149"/>
      <c r="O446" s="152" t="s">
        <v>348</v>
      </c>
      <c r="P446" s="149" t="s">
        <v>225</v>
      </c>
      <c r="Q446" s="196"/>
      <c r="R446" s="152" t="s">
        <v>348</v>
      </c>
      <c r="S446" s="149" t="s">
        <v>248</v>
      </c>
      <c r="T446" s="196"/>
      <c r="U446" s="196"/>
      <c r="V446" s="196"/>
      <c r="W446" s="196"/>
      <c r="X446" s="197"/>
      <c r="Y446" s="147"/>
      <c r="Z446" s="105"/>
      <c r="AA446" s="105"/>
      <c r="AB446" s="106"/>
      <c r="AC446" s="365"/>
      <c r="AD446" s="365"/>
      <c r="AE446" s="365"/>
      <c r="AF446" s="365"/>
      <c r="AI446" s="119" t="str">
        <f>"2A:serteikyo_kyoka_code:" &amp; IF(I446="■",1,IF(L446="■",6,IF(O446="■",5,IF(R446="■",7,0))))</f>
        <v>2A:serteikyo_kyoka_code:0</v>
      </c>
    </row>
    <row r="447" spans="1:35" s="119" customFormat="1" ht="18.75" customHeight="1" x14ac:dyDescent="0.15">
      <c r="A447" s="255"/>
      <c r="B447" s="256"/>
      <c r="C447" s="109"/>
      <c r="D447" s="110"/>
      <c r="E447" s="113"/>
      <c r="F447" s="110"/>
      <c r="G447" s="111"/>
      <c r="H447" s="329" t="s">
        <v>409</v>
      </c>
      <c r="I447" s="358" t="s">
        <v>348</v>
      </c>
      <c r="J447" s="359" t="s">
        <v>216</v>
      </c>
      <c r="K447" s="359"/>
      <c r="L447" s="360" t="s">
        <v>348</v>
      </c>
      <c r="M447" s="359" t="s">
        <v>232</v>
      </c>
      <c r="N447" s="359"/>
      <c r="O447" s="160"/>
      <c r="P447" s="160"/>
      <c r="Q447" s="160"/>
      <c r="R447" s="160"/>
      <c r="S447" s="160"/>
      <c r="T447" s="160"/>
      <c r="U447" s="160"/>
      <c r="V447" s="160"/>
      <c r="W447" s="160"/>
      <c r="X447" s="163"/>
      <c r="Y447" s="147"/>
      <c r="Z447" s="105"/>
      <c r="AA447" s="105"/>
      <c r="AB447" s="106"/>
      <c r="AC447" s="365"/>
      <c r="AD447" s="365"/>
      <c r="AE447" s="365"/>
      <c r="AF447" s="365"/>
      <c r="AI447" s="119" t="str">
        <f>"2A:field221:" &amp; IF(I447="■",1,IF(L447="■",2,0))</f>
        <v>2A:field221:0</v>
      </c>
    </row>
    <row r="448" spans="1:35" s="119" customFormat="1" ht="18.75" customHeight="1" x14ac:dyDescent="0.15">
      <c r="A448" s="255"/>
      <c r="B448" s="256"/>
      <c r="C448" s="109"/>
      <c r="D448" s="110"/>
      <c r="E448" s="113"/>
      <c r="F448" s="110"/>
      <c r="G448" s="111"/>
      <c r="H448" s="328"/>
      <c r="I448" s="358"/>
      <c r="J448" s="359"/>
      <c r="K448" s="359"/>
      <c r="L448" s="360"/>
      <c r="M448" s="359"/>
      <c r="N448" s="359"/>
      <c r="O448" s="115"/>
      <c r="P448" s="115"/>
      <c r="Q448" s="115"/>
      <c r="R448" s="115"/>
      <c r="S448" s="115"/>
      <c r="T448" s="115"/>
      <c r="U448" s="115"/>
      <c r="V448" s="115"/>
      <c r="W448" s="115"/>
      <c r="X448" s="161"/>
      <c r="Y448" s="147"/>
      <c r="Z448" s="105"/>
      <c r="AA448" s="105"/>
      <c r="AB448" s="106"/>
      <c r="AC448" s="365"/>
      <c r="AD448" s="365"/>
      <c r="AE448" s="365"/>
      <c r="AF448" s="365"/>
    </row>
    <row r="449" spans="1:36" s="119" customFormat="1" ht="18.75" customHeight="1" x14ac:dyDescent="0.15">
      <c r="A449" s="107"/>
      <c r="B449" s="108"/>
      <c r="C449" s="109"/>
      <c r="D449" s="110"/>
      <c r="E449" s="111"/>
      <c r="F449" s="112"/>
      <c r="G449" s="113"/>
      <c r="H449" s="204" t="s">
        <v>405</v>
      </c>
      <c r="I449" s="194" t="s">
        <v>348</v>
      </c>
      <c r="J449" s="160" t="s">
        <v>216</v>
      </c>
      <c r="K449" s="160"/>
      <c r="L449" s="195" t="s">
        <v>348</v>
      </c>
      <c r="M449" s="160" t="s">
        <v>373</v>
      </c>
      <c r="N449" s="246"/>
      <c r="O449" s="195" t="s">
        <v>348</v>
      </c>
      <c r="P449" s="104" t="s">
        <v>374</v>
      </c>
      <c r="Q449" s="247"/>
      <c r="R449" s="195" t="s">
        <v>348</v>
      </c>
      <c r="S449" s="160" t="s">
        <v>375</v>
      </c>
      <c r="T449" s="247"/>
      <c r="U449" s="195" t="s">
        <v>348</v>
      </c>
      <c r="V449" s="160" t="s">
        <v>376</v>
      </c>
      <c r="W449" s="241"/>
      <c r="X449" s="242"/>
      <c r="Y449" s="105"/>
      <c r="Z449" s="105"/>
      <c r="AA449" s="105"/>
      <c r="AB449" s="106"/>
      <c r="AC449" s="365"/>
      <c r="AD449" s="365"/>
      <c r="AE449" s="365"/>
      <c r="AF449" s="365"/>
      <c r="AI449" s="119" t="str">
        <f>"2A:shoguukaizen_code:"&amp;IF(I449="■",1,IF(L449="■",7,IF(O449="■",8,IF(R449="■",9,IF(U449="■","A",0)))))</f>
        <v>2A:shoguukaizen_code:0</v>
      </c>
    </row>
    <row r="450" spans="1:36" s="119" customFormat="1" ht="18.75" customHeight="1" x14ac:dyDescent="0.15">
      <c r="A450" s="253"/>
      <c r="B450" s="254"/>
      <c r="C450" s="132"/>
      <c r="D450" s="133"/>
      <c r="E450" s="135"/>
      <c r="F450" s="133"/>
      <c r="G450" s="126"/>
      <c r="H450" s="340" t="s">
        <v>96</v>
      </c>
      <c r="I450" s="140" t="s">
        <v>348</v>
      </c>
      <c r="J450" s="124" t="s">
        <v>265</v>
      </c>
      <c r="K450" s="137"/>
      <c r="L450" s="231"/>
      <c r="M450" s="136" t="s">
        <v>348</v>
      </c>
      <c r="N450" s="124" t="s">
        <v>293</v>
      </c>
      <c r="O450" s="232"/>
      <c r="P450" s="232"/>
      <c r="Q450" s="136" t="s">
        <v>348</v>
      </c>
      <c r="R450" s="124" t="s">
        <v>294</v>
      </c>
      <c r="S450" s="232"/>
      <c r="T450" s="232"/>
      <c r="U450" s="136" t="s">
        <v>348</v>
      </c>
      <c r="V450" s="124" t="s">
        <v>295</v>
      </c>
      <c r="W450" s="232"/>
      <c r="X450" s="213"/>
      <c r="Y450" s="140" t="s">
        <v>348</v>
      </c>
      <c r="Z450" s="124" t="s">
        <v>215</v>
      </c>
      <c r="AA450" s="124"/>
      <c r="AB450" s="139"/>
      <c r="AC450" s="363"/>
      <c r="AD450" s="363"/>
      <c r="AE450" s="363"/>
      <c r="AF450" s="363"/>
      <c r="AG450" s="119" t="str">
        <f>"ser_code = '" &amp; IF(A459="■","2A","") &amp; "'"</f>
        <v>ser_code = ''</v>
      </c>
      <c r="AH450" s="119" t="str">
        <f>"2A:jininkbn_code:"&amp;IF(F459="■",1,0)</f>
        <v>2A:jininkbn_code:0</v>
      </c>
      <c r="AI450" s="119" t="str">
        <f>"2A:yakan_kinmu_code:" &amp; IF(I450="■",1,IF(M450="■",2,IF(Q450="■",3,IF(U450="■",7,IF(I451="■",5,IF(M451="■",6,0))))))</f>
        <v>2A:yakan_kinmu_code:0</v>
      </c>
      <c r="AJ450" s="119" t="str">
        <f>"2A:field203:" &amp; IF(Y450="■",1,IF(Y451="■",2,0))</f>
        <v>2A:field203:0</v>
      </c>
    </row>
    <row r="451" spans="1:36" s="119" customFormat="1" ht="18.75" customHeight="1" x14ac:dyDescent="0.15">
      <c r="A451" s="255"/>
      <c r="B451" s="256"/>
      <c r="C451" s="109"/>
      <c r="D451" s="110"/>
      <c r="E451" s="113"/>
      <c r="F451" s="110"/>
      <c r="G451" s="111"/>
      <c r="H451" s="371"/>
      <c r="I451" s="143" t="s">
        <v>348</v>
      </c>
      <c r="J451" s="115" t="s">
        <v>296</v>
      </c>
      <c r="K451" s="166"/>
      <c r="L451" s="116"/>
      <c r="M451" s="191" t="s">
        <v>348</v>
      </c>
      <c r="N451" s="115" t="s">
        <v>266</v>
      </c>
      <c r="O451" s="144"/>
      <c r="P451" s="144"/>
      <c r="Q451" s="144"/>
      <c r="R451" s="144"/>
      <c r="S451" s="144"/>
      <c r="T451" s="144"/>
      <c r="U451" s="144"/>
      <c r="V451" s="144"/>
      <c r="W451" s="144"/>
      <c r="X451" s="226"/>
      <c r="Y451" s="123" t="s">
        <v>348</v>
      </c>
      <c r="Z451" s="104" t="s">
        <v>221</v>
      </c>
      <c r="AA451" s="105"/>
      <c r="AB451" s="106"/>
      <c r="AC451" s="364"/>
      <c r="AD451" s="364"/>
      <c r="AE451" s="364"/>
      <c r="AF451" s="364"/>
      <c r="AG451" s="119" t="str">
        <f>"2A:sisetukbn_code:"&amp;IF(D459="■","3",0)</f>
        <v>2A:sisetukbn_code:0</v>
      </c>
    </row>
    <row r="452" spans="1:36" s="119" customFormat="1" ht="18.75" customHeight="1" x14ac:dyDescent="0.15">
      <c r="A452" s="255"/>
      <c r="B452" s="256"/>
      <c r="C452" s="109"/>
      <c r="D452" s="110"/>
      <c r="E452" s="113"/>
      <c r="F452" s="110"/>
      <c r="G452" s="111"/>
      <c r="H452" s="370" t="s">
        <v>92</v>
      </c>
      <c r="I452" s="194" t="s">
        <v>348</v>
      </c>
      <c r="J452" s="160" t="s">
        <v>216</v>
      </c>
      <c r="K452" s="160"/>
      <c r="L452" s="205"/>
      <c r="M452" s="195" t="s">
        <v>348</v>
      </c>
      <c r="N452" s="160" t="s">
        <v>254</v>
      </c>
      <c r="O452" s="160"/>
      <c r="P452" s="205"/>
      <c r="Q452" s="195" t="s">
        <v>348</v>
      </c>
      <c r="R452" s="198" t="s">
        <v>337</v>
      </c>
      <c r="S452" s="198"/>
      <c r="T452" s="198"/>
      <c r="U452" s="241"/>
      <c r="V452" s="205"/>
      <c r="W452" s="198"/>
      <c r="X452" s="242"/>
      <c r="Y452" s="147"/>
      <c r="Z452" s="105"/>
      <c r="AA452" s="105"/>
      <c r="AB452" s="106"/>
      <c r="AC452" s="365"/>
      <c r="AD452" s="365"/>
      <c r="AE452" s="365"/>
      <c r="AF452" s="365"/>
      <c r="AI452" s="119" t="str">
        <f>"2A:"&amp;IF(AND(I452="□",M452="□",Q452="□",I453="□",M453="□"),"ketu_doctor_code:0",IF(I452="■","ketu_doctor_code:1:field197:1:ketu_kangos_code:1:ketu_kshoku_code:1",IF(M452="■","ketu_doctor_code:2","ketu_doctor_code:1")
&amp;IF(Q452="■",":field197:2",":field197:1")
&amp;IF(I453="■",":ketu_kangos_code:2",":ketu_kangos_code:1")
&amp;IF(M453="■",":ketu_kshoku_code:2",":ketu_kshoku_code:1")))</f>
        <v>2A:ketu_doctor_code:0</v>
      </c>
    </row>
    <row r="453" spans="1:36" s="119" customFormat="1" ht="18.75" customHeight="1" x14ac:dyDescent="0.15">
      <c r="A453" s="255"/>
      <c r="B453" s="256"/>
      <c r="C453" s="109"/>
      <c r="D453" s="110"/>
      <c r="E453" s="113"/>
      <c r="F453" s="110"/>
      <c r="G453" s="111"/>
      <c r="H453" s="371"/>
      <c r="I453" s="143" t="s">
        <v>348</v>
      </c>
      <c r="J453" s="144" t="s">
        <v>338</v>
      </c>
      <c r="K453" s="144"/>
      <c r="L453" s="144"/>
      <c r="M453" s="191" t="s">
        <v>348</v>
      </c>
      <c r="N453" s="144" t="s">
        <v>339</v>
      </c>
      <c r="O453" s="116"/>
      <c r="P453" s="144"/>
      <c r="Q453" s="144"/>
      <c r="R453" s="116"/>
      <c r="S453" s="144"/>
      <c r="T453" s="144"/>
      <c r="U453" s="145"/>
      <c r="V453" s="116"/>
      <c r="W453" s="144"/>
      <c r="X453" s="146"/>
      <c r="Y453" s="147"/>
      <c r="Z453" s="105"/>
      <c r="AA453" s="105"/>
      <c r="AB453" s="106"/>
      <c r="AC453" s="365"/>
      <c r="AD453" s="365"/>
      <c r="AE453" s="365"/>
      <c r="AF453" s="365"/>
    </row>
    <row r="454" spans="1:36" s="119" customFormat="1" ht="18.75" customHeight="1" x14ac:dyDescent="0.15">
      <c r="A454" s="107"/>
      <c r="B454" s="108"/>
      <c r="C454" s="238"/>
      <c r="D454" s="239"/>
      <c r="E454" s="111"/>
      <c r="F454" s="112"/>
      <c r="G454" s="113"/>
      <c r="H454" s="230" t="s">
        <v>103</v>
      </c>
      <c r="I454" s="148" t="s">
        <v>348</v>
      </c>
      <c r="J454" s="149" t="s">
        <v>360</v>
      </c>
      <c r="K454" s="150"/>
      <c r="L454" s="151"/>
      <c r="M454" s="152" t="s">
        <v>348</v>
      </c>
      <c r="N454" s="149" t="s">
        <v>361</v>
      </c>
      <c r="O454" s="150"/>
      <c r="P454" s="150"/>
      <c r="Q454" s="150"/>
      <c r="R454" s="150"/>
      <c r="S454" s="150"/>
      <c r="T454" s="150"/>
      <c r="U454" s="150"/>
      <c r="V454" s="150"/>
      <c r="W454" s="150"/>
      <c r="X454" s="159"/>
      <c r="Y454" s="147"/>
      <c r="Z454" s="105"/>
      <c r="AA454" s="105"/>
      <c r="AB454" s="106"/>
      <c r="AC454" s="365"/>
      <c r="AD454" s="365"/>
      <c r="AE454" s="365"/>
      <c r="AF454" s="365"/>
      <c r="AI454" s="119" t="str">
        <f>"2A:sintaikousoku_code:" &amp; IF(I454="■",1,IF(M454="■",2,0))</f>
        <v>2A:sintaikousoku_code:0</v>
      </c>
    </row>
    <row r="455" spans="1:36" s="119" customFormat="1" ht="19.5" customHeight="1" x14ac:dyDescent="0.15">
      <c r="A455" s="107"/>
      <c r="B455" s="108"/>
      <c r="C455" s="109"/>
      <c r="D455" s="110"/>
      <c r="E455" s="111"/>
      <c r="F455" s="112"/>
      <c r="G455" s="113"/>
      <c r="H455" s="114" t="s">
        <v>369</v>
      </c>
      <c r="I455" s="148" t="s">
        <v>348</v>
      </c>
      <c r="J455" s="149" t="s">
        <v>360</v>
      </c>
      <c r="K455" s="150"/>
      <c r="L455" s="151"/>
      <c r="M455" s="152" t="s">
        <v>348</v>
      </c>
      <c r="N455" s="149" t="s">
        <v>370</v>
      </c>
      <c r="O455" s="153"/>
      <c r="P455" s="149"/>
      <c r="Q455" s="154"/>
      <c r="R455" s="154"/>
      <c r="S455" s="154"/>
      <c r="T455" s="154"/>
      <c r="U455" s="154"/>
      <c r="V455" s="154"/>
      <c r="W455" s="154"/>
      <c r="X455" s="155"/>
      <c r="Y455" s="105"/>
      <c r="Z455" s="105"/>
      <c r="AA455" s="105"/>
      <c r="AB455" s="106"/>
      <c r="AC455" s="365"/>
      <c r="AD455" s="365"/>
      <c r="AE455" s="365"/>
      <c r="AF455" s="365"/>
      <c r="AI455" s="119" t="str">
        <f>"2A:field223:" &amp; IF(I455="■",1,IF(M455="■",2,0))</f>
        <v>2A:field223:0</v>
      </c>
    </row>
    <row r="456" spans="1:36" s="119" customFormat="1" ht="18.75" customHeight="1" x14ac:dyDescent="0.15">
      <c r="A456" s="255"/>
      <c r="B456" s="256"/>
      <c r="C456" s="109"/>
      <c r="D456" s="110"/>
      <c r="E456" s="113"/>
      <c r="F456" s="110"/>
      <c r="G456" s="111"/>
      <c r="H456" s="114" t="s">
        <v>390</v>
      </c>
      <c r="I456" s="148" t="s">
        <v>348</v>
      </c>
      <c r="J456" s="149" t="s">
        <v>360</v>
      </c>
      <c r="K456" s="150"/>
      <c r="L456" s="151"/>
      <c r="M456" s="152" t="s">
        <v>348</v>
      </c>
      <c r="N456" s="149" t="s">
        <v>370</v>
      </c>
      <c r="O456" s="153"/>
      <c r="P456" s="149"/>
      <c r="Q456" s="154"/>
      <c r="R456" s="154"/>
      <c r="S456" s="154"/>
      <c r="T456" s="154"/>
      <c r="U456" s="154"/>
      <c r="V456" s="154"/>
      <c r="W456" s="154"/>
      <c r="X456" s="155"/>
      <c r="Y456" s="105"/>
      <c r="Z456" s="105"/>
      <c r="AA456" s="105"/>
      <c r="AB456" s="106"/>
      <c r="AC456" s="365"/>
      <c r="AD456" s="365"/>
      <c r="AE456" s="365"/>
      <c r="AF456" s="365"/>
      <c r="AI456" s="119" t="str">
        <f>"2A:field232:" &amp; IF(I456="■",1,IF(M456="■",2,0))</f>
        <v>2A:field232:0</v>
      </c>
    </row>
    <row r="457" spans="1:36" s="119" customFormat="1" ht="18.75" customHeight="1" x14ac:dyDescent="0.15">
      <c r="A457" s="255"/>
      <c r="B457" s="256"/>
      <c r="C457" s="109"/>
      <c r="D457" s="110"/>
      <c r="E457" s="113"/>
      <c r="F457" s="110"/>
      <c r="G457" s="111"/>
      <c r="H457" s="230" t="s">
        <v>149</v>
      </c>
      <c r="I457" s="148" t="s">
        <v>348</v>
      </c>
      <c r="J457" s="149" t="s">
        <v>265</v>
      </c>
      <c r="K457" s="150"/>
      <c r="L457" s="151"/>
      <c r="M457" s="152" t="s">
        <v>348</v>
      </c>
      <c r="N457" s="149" t="s">
        <v>297</v>
      </c>
      <c r="O457" s="154"/>
      <c r="P457" s="154"/>
      <c r="Q457" s="154"/>
      <c r="R457" s="154"/>
      <c r="S457" s="154"/>
      <c r="T457" s="154"/>
      <c r="U457" s="154"/>
      <c r="V457" s="154"/>
      <c r="W457" s="154"/>
      <c r="X457" s="155"/>
      <c r="Y457" s="147"/>
      <c r="Z457" s="105"/>
      <c r="AA457" s="105"/>
      <c r="AB457" s="106"/>
      <c r="AC457" s="365"/>
      <c r="AD457" s="365"/>
      <c r="AE457" s="365"/>
      <c r="AF457" s="365"/>
      <c r="AI457" s="119" t="str">
        <f>"2A:field190:" &amp; IF(I457="■",1,IF(M457="■",2,0))</f>
        <v>2A:field190:0</v>
      </c>
    </row>
    <row r="458" spans="1:36" s="119" customFormat="1" ht="18.75" customHeight="1" x14ac:dyDescent="0.15">
      <c r="A458" s="255"/>
      <c r="B458" s="256"/>
      <c r="C458" s="109"/>
      <c r="D458" s="110"/>
      <c r="E458" s="113"/>
      <c r="F458" s="110"/>
      <c r="G458" s="111"/>
      <c r="H458" s="230" t="s">
        <v>150</v>
      </c>
      <c r="I458" s="148" t="s">
        <v>348</v>
      </c>
      <c r="J458" s="149" t="s">
        <v>265</v>
      </c>
      <c r="K458" s="150"/>
      <c r="L458" s="151"/>
      <c r="M458" s="152" t="s">
        <v>348</v>
      </c>
      <c r="N458" s="149" t="s">
        <v>297</v>
      </c>
      <c r="O458" s="154"/>
      <c r="P458" s="154"/>
      <c r="Q458" s="154"/>
      <c r="R458" s="154"/>
      <c r="S458" s="154"/>
      <c r="T458" s="154"/>
      <c r="U458" s="154"/>
      <c r="V458" s="154"/>
      <c r="W458" s="154"/>
      <c r="X458" s="155"/>
      <c r="Y458" s="147"/>
      <c r="Z458" s="105"/>
      <c r="AA458" s="105"/>
      <c r="AB458" s="106"/>
      <c r="AC458" s="365"/>
      <c r="AD458" s="365"/>
      <c r="AE458" s="365"/>
      <c r="AF458" s="365"/>
      <c r="AI458" s="119" t="str">
        <f>"2A:field191:" &amp; IF(I458="■",1,IF(M458="■",2,0))</f>
        <v>2A:field191:0</v>
      </c>
    </row>
    <row r="459" spans="1:36" s="119" customFormat="1" ht="18.75" customHeight="1" x14ac:dyDescent="0.15">
      <c r="A459" s="128" t="s">
        <v>348</v>
      </c>
      <c r="B459" s="256" t="s">
        <v>191</v>
      </c>
      <c r="C459" s="109" t="s">
        <v>172</v>
      </c>
      <c r="D459" s="123" t="s">
        <v>348</v>
      </c>
      <c r="E459" s="113" t="s">
        <v>345</v>
      </c>
      <c r="F459" s="123" t="s">
        <v>348</v>
      </c>
      <c r="G459" s="111" t="s">
        <v>344</v>
      </c>
      <c r="H459" s="230" t="s">
        <v>104</v>
      </c>
      <c r="I459" s="148" t="s">
        <v>348</v>
      </c>
      <c r="J459" s="149" t="s">
        <v>216</v>
      </c>
      <c r="K459" s="150"/>
      <c r="L459" s="152" t="s">
        <v>348</v>
      </c>
      <c r="M459" s="149" t="s">
        <v>232</v>
      </c>
      <c r="N459" s="154"/>
      <c r="O459" s="154"/>
      <c r="P459" s="154"/>
      <c r="Q459" s="154"/>
      <c r="R459" s="154"/>
      <c r="S459" s="154"/>
      <c r="T459" s="154"/>
      <c r="U459" s="154"/>
      <c r="V459" s="154"/>
      <c r="W459" s="154"/>
      <c r="X459" s="155"/>
      <c r="Y459" s="147"/>
      <c r="Z459" s="105"/>
      <c r="AA459" s="105"/>
      <c r="AB459" s="106"/>
      <c r="AC459" s="365"/>
      <c r="AD459" s="365"/>
      <c r="AE459" s="365"/>
      <c r="AF459" s="365"/>
      <c r="AI459" s="119" t="str">
        <f>"2A:jyakuninti_uke_code:" &amp; IF(I459="■",1,IF(L459="■",2,0))</f>
        <v>2A:jyakuninti_uke_code:0</v>
      </c>
    </row>
    <row r="460" spans="1:36" s="119" customFormat="1" ht="18.75" customHeight="1" x14ac:dyDescent="0.15">
      <c r="A460" s="255"/>
      <c r="B460" s="256"/>
      <c r="C460" s="109"/>
      <c r="D460" s="110"/>
      <c r="E460" s="113"/>
      <c r="F460" s="110"/>
      <c r="G460" s="111"/>
      <c r="H460" s="230" t="s">
        <v>94</v>
      </c>
      <c r="I460" s="148" t="s">
        <v>348</v>
      </c>
      <c r="J460" s="149" t="s">
        <v>230</v>
      </c>
      <c r="K460" s="150"/>
      <c r="L460" s="151"/>
      <c r="M460" s="152" t="s">
        <v>348</v>
      </c>
      <c r="N460" s="149" t="s">
        <v>231</v>
      </c>
      <c r="O460" s="154"/>
      <c r="P460" s="154"/>
      <c r="Q460" s="154"/>
      <c r="R460" s="154"/>
      <c r="S460" s="154"/>
      <c r="T460" s="154"/>
      <c r="U460" s="154"/>
      <c r="V460" s="154"/>
      <c r="W460" s="154"/>
      <c r="X460" s="155"/>
      <c r="Y460" s="147"/>
      <c r="Z460" s="105"/>
      <c r="AA460" s="105"/>
      <c r="AB460" s="106"/>
      <c r="AC460" s="365"/>
      <c r="AD460" s="365"/>
      <c r="AE460" s="365"/>
      <c r="AF460" s="365"/>
      <c r="AI460" s="119" t="str">
        <f>"2A:sougei_code:" &amp; IF(I460="■",1,IF(M460="■",2,0))</f>
        <v>2A:sougei_code:0</v>
      </c>
    </row>
    <row r="461" spans="1:36" s="119" customFormat="1" ht="19.5" customHeight="1" x14ac:dyDescent="0.15">
      <c r="A461" s="255"/>
      <c r="B461" s="256"/>
      <c r="C461" s="109"/>
      <c r="D461" s="110"/>
      <c r="E461" s="113"/>
      <c r="F461" s="110"/>
      <c r="G461" s="111"/>
      <c r="H461" s="114" t="s">
        <v>372</v>
      </c>
      <c r="I461" s="148" t="s">
        <v>348</v>
      </c>
      <c r="J461" s="149" t="s">
        <v>216</v>
      </c>
      <c r="K461" s="149"/>
      <c r="L461" s="152" t="s">
        <v>348</v>
      </c>
      <c r="M461" s="149" t="s">
        <v>232</v>
      </c>
      <c r="N461" s="149"/>
      <c r="O461" s="154"/>
      <c r="P461" s="149"/>
      <c r="Q461" s="154"/>
      <c r="R461" s="154"/>
      <c r="S461" s="154"/>
      <c r="T461" s="154"/>
      <c r="U461" s="154"/>
      <c r="V461" s="154"/>
      <c r="W461" s="154"/>
      <c r="X461" s="155"/>
      <c r="Y461" s="105"/>
      <c r="Z461" s="105"/>
      <c r="AA461" s="105"/>
      <c r="AB461" s="106"/>
      <c r="AC461" s="365"/>
      <c r="AD461" s="365"/>
      <c r="AE461" s="365"/>
      <c r="AF461" s="365"/>
      <c r="AI461" s="119" t="str">
        <f>"2A:field224:" &amp; IF(I461="■",1,IF(L461="■",2,0))</f>
        <v>2A:field224:0</v>
      </c>
    </row>
    <row r="462" spans="1:36" s="119" customFormat="1" ht="18.75" customHeight="1" x14ac:dyDescent="0.15">
      <c r="A462" s="255"/>
      <c r="B462" s="256"/>
      <c r="C462" s="109"/>
      <c r="D462" s="110"/>
      <c r="E462" s="113"/>
      <c r="F462" s="110"/>
      <c r="G462" s="111"/>
      <c r="H462" s="230" t="s">
        <v>106</v>
      </c>
      <c r="I462" s="148" t="s">
        <v>348</v>
      </c>
      <c r="J462" s="149" t="s">
        <v>216</v>
      </c>
      <c r="K462" s="150"/>
      <c r="L462" s="152" t="s">
        <v>348</v>
      </c>
      <c r="M462" s="149" t="s">
        <v>232</v>
      </c>
      <c r="N462" s="154"/>
      <c r="O462" s="154"/>
      <c r="P462" s="154"/>
      <c r="Q462" s="154"/>
      <c r="R462" s="154"/>
      <c r="S462" s="154"/>
      <c r="T462" s="154"/>
      <c r="U462" s="154"/>
      <c r="V462" s="154"/>
      <c r="W462" s="154"/>
      <c r="X462" s="155"/>
      <c r="Y462" s="147"/>
      <c r="Z462" s="105"/>
      <c r="AA462" s="105"/>
      <c r="AB462" s="106"/>
      <c r="AC462" s="365"/>
      <c r="AD462" s="365"/>
      <c r="AE462" s="365"/>
      <c r="AF462" s="365"/>
      <c r="AI462" s="119" t="str">
        <f>"2A:ryouyoushoku_code:" &amp; IF(I462="■",1,IF(L462="■",2,0))</f>
        <v>2A:ryouyoushoku_code:0</v>
      </c>
    </row>
    <row r="463" spans="1:36" s="119" customFormat="1" ht="18.75" customHeight="1" x14ac:dyDescent="0.15">
      <c r="A463" s="255"/>
      <c r="B463" s="256"/>
      <c r="C463" s="109"/>
      <c r="D463" s="110"/>
      <c r="E463" s="113"/>
      <c r="F463" s="110"/>
      <c r="G463" s="111"/>
      <c r="H463" s="230" t="s">
        <v>109</v>
      </c>
      <c r="I463" s="148" t="s">
        <v>348</v>
      </c>
      <c r="J463" s="149" t="s">
        <v>216</v>
      </c>
      <c r="K463" s="149"/>
      <c r="L463" s="152" t="s">
        <v>348</v>
      </c>
      <c r="M463" s="149" t="s">
        <v>217</v>
      </c>
      <c r="N463" s="149"/>
      <c r="O463" s="152" t="s">
        <v>348</v>
      </c>
      <c r="P463" s="149" t="s">
        <v>218</v>
      </c>
      <c r="Q463" s="154"/>
      <c r="R463" s="154"/>
      <c r="S463" s="154"/>
      <c r="T463" s="154"/>
      <c r="U463" s="154"/>
      <c r="V463" s="154"/>
      <c r="W463" s="154"/>
      <c r="X463" s="155"/>
      <c r="Y463" s="147"/>
      <c r="Z463" s="105"/>
      <c r="AA463" s="105"/>
      <c r="AB463" s="106"/>
      <c r="AC463" s="365"/>
      <c r="AD463" s="365"/>
      <c r="AE463" s="365"/>
      <c r="AF463" s="365"/>
      <c r="AI463" s="119" t="str">
        <f>"2A:ninti_senmoncare_code:" &amp; IF(I463="■",1,IF(O463="■",3,IF(L463="■",2,0)))</f>
        <v>2A:ninti_senmoncare_code:0</v>
      </c>
    </row>
    <row r="464" spans="1:36" s="119" customFormat="1" ht="18.75" customHeight="1" x14ac:dyDescent="0.15">
      <c r="A464" s="255"/>
      <c r="B464" s="256"/>
      <c r="C464" s="109"/>
      <c r="D464" s="110"/>
      <c r="E464" s="113"/>
      <c r="F464" s="110"/>
      <c r="G464" s="111"/>
      <c r="H464" s="230" t="s">
        <v>192</v>
      </c>
      <c r="I464" s="148" t="s">
        <v>348</v>
      </c>
      <c r="J464" s="149" t="s">
        <v>216</v>
      </c>
      <c r="K464" s="149"/>
      <c r="L464" s="152" t="s">
        <v>348</v>
      </c>
      <c r="M464" s="149" t="s">
        <v>217</v>
      </c>
      <c r="N464" s="149"/>
      <c r="O464" s="152" t="s">
        <v>348</v>
      </c>
      <c r="P464" s="149" t="s">
        <v>218</v>
      </c>
      <c r="Q464" s="154"/>
      <c r="R464" s="154"/>
      <c r="S464" s="154"/>
      <c r="T464" s="154"/>
      <c r="U464" s="154"/>
      <c r="V464" s="154"/>
      <c r="W464" s="154"/>
      <c r="X464" s="155"/>
      <c r="Y464" s="147"/>
      <c r="Z464" s="105"/>
      <c r="AA464" s="105"/>
      <c r="AB464" s="106"/>
      <c r="AC464" s="365"/>
      <c r="AD464" s="365"/>
      <c r="AE464" s="365"/>
      <c r="AF464" s="365"/>
      <c r="AI464" s="119" t="str">
        <f>"2A:field164:" &amp; IF(I464="■",1,IF(L464="■",2,IF(O464="■",3,0)))</f>
        <v>2A:field164:0</v>
      </c>
    </row>
    <row r="465" spans="1:38" s="119" customFormat="1" ht="18.75" customHeight="1" x14ac:dyDescent="0.15">
      <c r="A465" s="255"/>
      <c r="B465" s="256"/>
      <c r="C465" s="109"/>
      <c r="D465" s="110"/>
      <c r="E465" s="113"/>
      <c r="F465" s="110"/>
      <c r="G465" s="111"/>
      <c r="H465" s="240" t="s">
        <v>385</v>
      </c>
      <c r="I465" s="148" t="s">
        <v>348</v>
      </c>
      <c r="J465" s="149" t="s">
        <v>216</v>
      </c>
      <c r="K465" s="149"/>
      <c r="L465" s="152" t="s">
        <v>348</v>
      </c>
      <c r="M465" s="149" t="s">
        <v>217</v>
      </c>
      <c r="N465" s="149"/>
      <c r="O465" s="152" t="s">
        <v>348</v>
      </c>
      <c r="P465" s="149" t="s">
        <v>218</v>
      </c>
      <c r="Q465" s="154"/>
      <c r="R465" s="154"/>
      <c r="S465" s="154"/>
      <c r="T465" s="154"/>
      <c r="U465" s="241"/>
      <c r="V465" s="241"/>
      <c r="W465" s="241"/>
      <c r="X465" s="242"/>
      <c r="Y465" s="147"/>
      <c r="Z465" s="105"/>
      <c r="AA465" s="105"/>
      <c r="AB465" s="106"/>
      <c r="AC465" s="365"/>
      <c r="AD465" s="365"/>
      <c r="AE465" s="365"/>
      <c r="AF465" s="365"/>
      <c r="AI465" s="119" t="str">
        <f>"2A:field225:" &amp; IF(I465="■",1,IF(L465="■",2,IF(O465="■",3,0)))</f>
        <v>2A:field225:0</v>
      </c>
    </row>
    <row r="466" spans="1:38" s="119" customFormat="1" ht="18.75" customHeight="1" x14ac:dyDescent="0.15">
      <c r="A466" s="255"/>
      <c r="B466" s="256"/>
      <c r="C466" s="109"/>
      <c r="D466" s="110"/>
      <c r="E466" s="113"/>
      <c r="F466" s="110"/>
      <c r="G466" s="111"/>
      <c r="H466" s="157" t="s">
        <v>111</v>
      </c>
      <c r="I466" s="148" t="s">
        <v>348</v>
      </c>
      <c r="J466" s="149" t="s">
        <v>216</v>
      </c>
      <c r="K466" s="149"/>
      <c r="L466" s="152" t="s">
        <v>348</v>
      </c>
      <c r="M466" s="149" t="s">
        <v>224</v>
      </c>
      <c r="N466" s="149"/>
      <c r="O466" s="152" t="s">
        <v>348</v>
      </c>
      <c r="P466" s="149" t="s">
        <v>225</v>
      </c>
      <c r="Q466" s="196"/>
      <c r="R466" s="152" t="s">
        <v>348</v>
      </c>
      <c r="S466" s="149" t="s">
        <v>248</v>
      </c>
      <c r="T466" s="196"/>
      <c r="U466" s="196"/>
      <c r="V466" s="196"/>
      <c r="W466" s="196"/>
      <c r="X466" s="197"/>
      <c r="Y466" s="147"/>
      <c r="Z466" s="105"/>
      <c r="AA466" s="105"/>
      <c r="AB466" s="106"/>
      <c r="AC466" s="365"/>
      <c r="AD466" s="365"/>
      <c r="AE466" s="365"/>
      <c r="AF466" s="365"/>
      <c r="AI466" s="119" t="str">
        <f>"2A:serteikyo_kyoka_code:" &amp; IF(I466="■",1,IF(L466="■",6,IF(O466="■",5,IF(R466="■",7,0))))</f>
        <v>2A:serteikyo_kyoka_code:0</v>
      </c>
    </row>
    <row r="467" spans="1:38" s="119" customFormat="1" ht="18.75" customHeight="1" x14ac:dyDescent="0.15">
      <c r="A467" s="255"/>
      <c r="B467" s="256"/>
      <c r="C467" s="109"/>
      <c r="D467" s="110"/>
      <c r="E467" s="113"/>
      <c r="F467" s="110"/>
      <c r="G467" s="111"/>
      <c r="H467" s="329" t="s">
        <v>409</v>
      </c>
      <c r="I467" s="358" t="s">
        <v>348</v>
      </c>
      <c r="J467" s="359" t="s">
        <v>216</v>
      </c>
      <c r="K467" s="359"/>
      <c r="L467" s="360" t="s">
        <v>348</v>
      </c>
      <c r="M467" s="359" t="s">
        <v>232</v>
      </c>
      <c r="N467" s="359"/>
      <c r="O467" s="160"/>
      <c r="P467" s="160"/>
      <c r="Q467" s="160"/>
      <c r="R467" s="160"/>
      <c r="S467" s="160"/>
      <c r="T467" s="160"/>
      <c r="U467" s="160"/>
      <c r="V467" s="160"/>
      <c r="W467" s="160"/>
      <c r="X467" s="163"/>
      <c r="Y467" s="147"/>
      <c r="Z467" s="105"/>
      <c r="AA467" s="105"/>
      <c r="AB467" s="106"/>
      <c r="AC467" s="365"/>
      <c r="AD467" s="365"/>
      <c r="AE467" s="365"/>
      <c r="AF467" s="365"/>
      <c r="AI467" s="119" t="str">
        <f>"2A:field221:" &amp; IF(I467="■",1,IF(L467="■",2,0))</f>
        <v>2A:field221:0</v>
      </c>
    </row>
    <row r="468" spans="1:38" s="119" customFormat="1" ht="18.75" customHeight="1" x14ac:dyDescent="0.15">
      <c r="A468" s="255"/>
      <c r="B468" s="256"/>
      <c r="C468" s="109"/>
      <c r="D468" s="110"/>
      <c r="E468" s="113"/>
      <c r="F468" s="110"/>
      <c r="G468" s="111"/>
      <c r="H468" s="328"/>
      <c r="I468" s="358"/>
      <c r="J468" s="359"/>
      <c r="K468" s="359"/>
      <c r="L468" s="360"/>
      <c r="M468" s="359"/>
      <c r="N468" s="359"/>
      <c r="O468" s="115"/>
      <c r="P468" s="115"/>
      <c r="Q468" s="115"/>
      <c r="R468" s="115"/>
      <c r="S468" s="115"/>
      <c r="T468" s="115"/>
      <c r="U468" s="115"/>
      <c r="V468" s="115"/>
      <c r="W468" s="115"/>
      <c r="X468" s="161"/>
      <c r="Y468" s="147"/>
      <c r="Z468" s="105"/>
      <c r="AA468" s="105"/>
      <c r="AB468" s="106"/>
      <c r="AC468" s="365"/>
      <c r="AD468" s="365"/>
      <c r="AE468" s="365"/>
      <c r="AF468" s="365"/>
    </row>
    <row r="469" spans="1:38" s="119" customFormat="1" ht="18.75" customHeight="1" x14ac:dyDescent="0.15">
      <c r="A469" s="170"/>
      <c r="B469" s="171"/>
      <c r="C469" s="172"/>
      <c r="D469" s="173"/>
      <c r="E469" s="174"/>
      <c r="F469" s="175"/>
      <c r="G469" s="176"/>
      <c r="H469" s="95" t="s">
        <v>405</v>
      </c>
      <c r="I469" s="177" t="s">
        <v>348</v>
      </c>
      <c r="J469" s="96" t="s">
        <v>216</v>
      </c>
      <c r="K469" s="96"/>
      <c r="L469" s="178" t="s">
        <v>348</v>
      </c>
      <c r="M469" s="96" t="s">
        <v>373</v>
      </c>
      <c r="N469" s="97"/>
      <c r="O469" s="178" t="s">
        <v>348</v>
      </c>
      <c r="P469" s="99" t="s">
        <v>374</v>
      </c>
      <c r="Q469" s="98"/>
      <c r="R469" s="178" t="s">
        <v>348</v>
      </c>
      <c r="S469" s="96" t="s">
        <v>375</v>
      </c>
      <c r="T469" s="98"/>
      <c r="U469" s="178" t="s">
        <v>348</v>
      </c>
      <c r="V469" s="96" t="s">
        <v>376</v>
      </c>
      <c r="W469" s="100"/>
      <c r="X469" s="101"/>
      <c r="Y469" s="179"/>
      <c r="Z469" s="179"/>
      <c r="AA469" s="179"/>
      <c r="AB469" s="180"/>
      <c r="AC469" s="366"/>
      <c r="AD469" s="366"/>
      <c r="AE469" s="366"/>
      <c r="AF469" s="366"/>
      <c r="AI469" s="119" t="str">
        <f>"2A:shoguukaizen_code:"&amp;IF(I469="■",1,IF(L469="■",7,IF(O469="■",8,IF(R469="■",9,IF(U469="■","A",0)))))</f>
        <v>2A:shoguukaizen_code:0</v>
      </c>
    </row>
    <row r="470" spans="1:38" s="119" customFormat="1" ht="18.75" customHeight="1" x14ac:dyDescent="0.15">
      <c r="A470" s="253"/>
      <c r="B470" s="254"/>
      <c r="C470" s="132"/>
      <c r="D470" s="133"/>
      <c r="E470" s="135"/>
      <c r="F470" s="133"/>
      <c r="G470" s="126"/>
      <c r="H470" s="340" t="s">
        <v>96</v>
      </c>
      <c r="I470" s="140" t="s">
        <v>348</v>
      </c>
      <c r="J470" s="124" t="s">
        <v>265</v>
      </c>
      <c r="K470" s="137"/>
      <c r="L470" s="231"/>
      <c r="M470" s="136" t="s">
        <v>348</v>
      </c>
      <c r="N470" s="124" t="s">
        <v>293</v>
      </c>
      <c r="O470" s="232"/>
      <c r="P470" s="232"/>
      <c r="Q470" s="136" t="s">
        <v>348</v>
      </c>
      <c r="R470" s="124" t="s">
        <v>294</v>
      </c>
      <c r="S470" s="232"/>
      <c r="T470" s="232"/>
      <c r="U470" s="136" t="s">
        <v>348</v>
      </c>
      <c r="V470" s="124" t="s">
        <v>295</v>
      </c>
      <c r="W470" s="232"/>
      <c r="X470" s="213"/>
      <c r="Y470" s="140" t="s">
        <v>348</v>
      </c>
      <c r="Z470" s="124" t="s">
        <v>215</v>
      </c>
      <c r="AA470" s="124"/>
      <c r="AB470" s="139"/>
      <c r="AC470" s="363"/>
      <c r="AD470" s="363"/>
      <c r="AE470" s="363"/>
      <c r="AF470" s="363"/>
      <c r="AG470" s="119" t="str">
        <f>"ser_code = '" &amp; IF(A480="■","2A","") &amp; "'"</f>
        <v>ser_code = ''</v>
      </c>
      <c r="AH470" s="119" t="str">
        <f>"2A:jininkbn_code:"&amp;IF(F480="■",2,0)</f>
        <v>2A:jininkbn_code:0</v>
      </c>
      <c r="AI470" s="119" t="str">
        <f>"2A:yakan_kinmu_code:" &amp; IF(I470="■",1,IF(M470="■",2,IF(Q470="■",3,IF(U470="■",7,IF(I471="■",5,IF(M471="■",6,0))))))</f>
        <v>2A:yakan_kinmu_code:0</v>
      </c>
      <c r="AJ470" s="119" t="str">
        <f>"2A:field203:" &amp; IF(Y470="■",1,IF(Y471="■",2,0))</f>
        <v>2A:field203:0</v>
      </c>
    </row>
    <row r="471" spans="1:38" s="119" customFormat="1" ht="18.75" customHeight="1" x14ac:dyDescent="0.15">
      <c r="A471" s="255"/>
      <c r="B471" s="256"/>
      <c r="C471" s="109"/>
      <c r="D471" s="110"/>
      <c r="E471" s="113"/>
      <c r="F471" s="110"/>
      <c r="G471" s="111"/>
      <c r="H471" s="371"/>
      <c r="I471" s="143" t="s">
        <v>348</v>
      </c>
      <c r="J471" s="115" t="s">
        <v>296</v>
      </c>
      <c r="K471" s="166"/>
      <c r="L471" s="116"/>
      <c r="M471" s="191" t="s">
        <v>348</v>
      </c>
      <c r="N471" s="115" t="s">
        <v>266</v>
      </c>
      <c r="O471" s="144"/>
      <c r="P471" s="144"/>
      <c r="Q471" s="144"/>
      <c r="R471" s="144"/>
      <c r="S471" s="144"/>
      <c r="T471" s="144"/>
      <c r="U471" s="144"/>
      <c r="V471" s="144"/>
      <c r="W471" s="144"/>
      <c r="X471" s="226"/>
      <c r="Y471" s="123" t="s">
        <v>348</v>
      </c>
      <c r="Z471" s="104" t="s">
        <v>221</v>
      </c>
      <c r="AA471" s="105"/>
      <c r="AB471" s="106"/>
      <c r="AC471" s="364"/>
      <c r="AD471" s="364"/>
      <c r="AE471" s="364"/>
      <c r="AF471" s="364"/>
      <c r="AG471" s="119" t="str">
        <f>"2A:sisetukbn_code:"&amp;IF(D480="■","3",0)</f>
        <v>2A:sisetukbn_code:0</v>
      </c>
    </row>
    <row r="472" spans="1:38" s="119" customFormat="1" ht="18.75" customHeight="1" x14ac:dyDescent="0.15">
      <c r="A472" s="255"/>
      <c r="B472" s="256"/>
      <c r="C472" s="109"/>
      <c r="D472" s="110"/>
      <c r="E472" s="113"/>
      <c r="F472" s="110"/>
      <c r="G472" s="111"/>
      <c r="H472" s="370" t="s">
        <v>92</v>
      </c>
      <c r="I472" s="194" t="s">
        <v>348</v>
      </c>
      <c r="J472" s="160" t="s">
        <v>216</v>
      </c>
      <c r="K472" s="160"/>
      <c r="L472" s="205"/>
      <c r="M472" s="195" t="s">
        <v>348</v>
      </c>
      <c r="N472" s="160" t="s">
        <v>254</v>
      </c>
      <c r="O472" s="160"/>
      <c r="P472" s="205"/>
      <c r="Q472" s="195" t="s">
        <v>348</v>
      </c>
      <c r="R472" s="198" t="s">
        <v>337</v>
      </c>
      <c r="S472" s="198"/>
      <c r="T472" s="198"/>
      <c r="U472" s="241"/>
      <c r="V472" s="205"/>
      <c r="W472" s="198"/>
      <c r="X472" s="242"/>
      <c r="Y472" s="147"/>
      <c r="Z472" s="105"/>
      <c r="AA472" s="105"/>
      <c r="AB472" s="106"/>
      <c r="AC472" s="365"/>
      <c r="AD472" s="365"/>
      <c r="AE472" s="365"/>
      <c r="AF472" s="365"/>
      <c r="AI472" s="119" t="str">
        <f>"2A:"&amp;IF(AND(I472="□",M472="□",Q472="□",I473="□",M473="□"),"ketu_doctor_code:0",IF(I472="■","ketu_doctor_code:1:field197:1:ketu_kangos_code:1:ketu_kshoku_code:1",IF(M472="■","ketu_doctor_code:2","ketu_doctor_code:1")
&amp;IF(Q472="■",":field197:2",":field197:1")
&amp;IF(I473="■",":ketu_kangos_code:2",":ketu_kangos_code:1")
&amp;IF(M473="■",":ketu_kshoku_code:2",":ketu_kshoku_code:1")))</f>
        <v>2A:ketu_doctor_code:0</v>
      </c>
    </row>
    <row r="473" spans="1:38" s="119" customFormat="1" ht="18.75" customHeight="1" x14ac:dyDescent="0.15">
      <c r="A473" s="255"/>
      <c r="B473" s="256"/>
      <c r="C473" s="109"/>
      <c r="D473" s="110"/>
      <c r="E473" s="113"/>
      <c r="F473" s="110"/>
      <c r="G473" s="111"/>
      <c r="H473" s="371"/>
      <c r="I473" s="143" t="s">
        <v>348</v>
      </c>
      <c r="J473" s="144" t="s">
        <v>338</v>
      </c>
      <c r="K473" s="144"/>
      <c r="L473" s="144"/>
      <c r="M473" s="191" t="s">
        <v>348</v>
      </c>
      <c r="N473" s="144" t="s">
        <v>339</v>
      </c>
      <c r="O473" s="116"/>
      <c r="P473" s="144"/>
      <c r="Q473" s="144"/>
      <c r="R473" s="116"/>
      <c r="S473" s="144"/>
      <c r="T473" s="144"/>
      <c r="U473" s="145"/>
      <c r="V473" s="116"/>
      <c r="W473" s="144"/>
      <c r="X473" s="146"/>
      <c r="Y473" s="147"/>
      <c r="Z473" s="105"/>
      <c r="AA473" s="105"/>
      <c r="AB473" s="106"/>
      <c r="AC473" s="365"/>
      <c r="AD473" s="365"/>
      <c r="AE473" s="365"/>
      <c r="AF473" s="365"/>
    </row>
    <row r="474" spans="1:38" s="119" customFormat="1" ht="18.75" customHeight="1" x14ac:dyDescent="0.15">
      <c r="A474" s="107"/>
      <c r="B474" s="108"/>
      <c r="C474" s="238"/>
      <c r="D474" s="239"/>
      <c r="E474" s="111"/>
      <c r="F474" s="112"/>
      <c r="G474" s="113"/>
      <c r="H474" s="230" t="s">
        <v>103</v>
      </c>
      <c r="I474" s="148" t="s">
        <v>348</v>
      </c>
      <c r="J474" s="149" t="s">
        <v>360</v>
      </c>
      <c r="K474" s="150"/>
      <c r="L474" s="151"/>
      <c r="M474" s="152" t="s">
        <v>348</v>
      </c>
      <c r="N474" s="149" t="s">
        <v>361</v>
      </c>
      <c r="O474" s="150"/>
      <c r="P474" s="150"/>
      <c r="Q474" s="150"/>
      <c r="R474" s="150"/>
      <c r="S474" s="150"/>
      <c r="T474" s="150"/>
      <c r="U474" s="150"/>
      <c r="V474" s="150"/>
      <c r="W474" s="150"/>
      <c r="X474" s="159"/>
      <c r="Y474" s="147"/>
      <c r="Z474" s="105"/>
      <c r="AA474" s="105"/>
      <c r="AB474" s="106"/>
      <c r="AC474" s="365"/>
      <c r="AD474" s="365"/>
      <c r="AE474" s="365"/>
      <c r="AF474" s="365"/>
      <c r="AI474" s="119" t="str">
        <f>"2A:sintaikousoku_code:" &amp; IF(I474="■",1,IF(M474="■",2,0))</f>
        <v>2A:sintaikousoku_code:0</v>
      </c>
    </row>
    <row r="475" spans="1:38" s="119" customFormat="1" ht="19.5" customHeight="1" x14ac:dyDescent="0.15">
      <c r="A475" s="107"/>
      <c r="B475" s="108"/>
      <c r="C475" s="109"/>
      <c r="D475" s="110"/>
      <c r="E475" s="111"/>
      <c r="F475" s="112"/>
      <c r="G475" s="113"/>
      <c r="H475" s="114" t="s">
        <v>369</v>
      </c>
      <c r="I475" s="148" t="s">
        <v>348</v>
      </c>
      <c r="J475" s="149" t="s">
        <v>360</v>
      </c>
      <c r="K475" s="150"/>
      <c r="L475" s="151"/>
      <c r="M475" s="152" t="s">
        <v>348</v>
      </c>
      <c r="N475" s="149" t="s">
        <v>370</v>
      </c>
      <c r="O475" s="153"/>
      <c r="P475" s="149"/>
      <c r="Q475" s="154"/>
      <c r="R475" s="154"/>
      <c r="S475" s="154"/>
      <c r="T475" s="154"/>
      <c r="U475" s="154"/>
      <c r="V475" s="154"/>
      <c r="W475" s="154"/>
      <c r="X475" s="155"/>
      <c r="Y475" s="105"/>
      <c r="Z475" s="105"/>
      <c r="AA475" s="105"/>
      <c r="AB475" s="106"/>
      <c r="AC475" s="365"/>
      <c r="AD475" s="365"/>
      <c r="AE475" s="365"/>
      <c r="AF475" s="365"/>
      <c r="AI475" s="119" t="str">
        <f>"2A:field223:" &amp; IF(I475="■",1,IF(M475="■",2,0))</f>
        <v>2A:field223:0</v>
      </c>
    </row>
    <row r="476" spans="1:38" s="119" customFormat="1" ht="18.75" customHeight="1" x14ac:dyDescent="0.15">
      <c r="A476" s="255"/>
      <c r="B476" s="256"/>
      <c r="C476" s="109"/>
      <c r="D476" s="110"/>
      <c r="E476" s="113"/>
      <c r="F476" s="110"/>
      <c r="G476" s="111"/>
      <c r="H476" s="114" t="s">
        <v>390</v>
      </c>
      <c r="I476" s="148" t="s">
        <v>348</v>
      </c>
      <c r="J476" s="149" t="s">
        <v>360</v>
      </c>
      <c r="K476" s="150"/>
      <c r="L476" s="151"/>
      <c r="M476" s="152" t="s">
        <v>348</v>
      </c>
      <c r="N476" s="149" t="s">
        <v>370</v>
      </c>
      <c r="O476" s="153"/>
      <c r="P476" s="149"/>
      <c r="Q476" s="154"/>
      <c r="R476" s="154"/>
      <c r="S476" s="154"/>
      <c r="T476" s="154"/>
      <c r="U476" s="154"/>
      <c r="V476" s="154"/>
      <c r="W476" s="154"/>
      <c r="X476" s="155"/>
      <c r="Y476" s="105"/>
      <c r="Z476" s="105"/>
      <c r="AA476" s="105"/>
      <c r="AB476" s="106"/>
      <c r="AC476" s="365"/>
      <c r="AD476" s="365"/>
      <c r="AE476" s="365"/>
      <c r="AF476" s="365"/>
      <c r="AI476" s="119" t="str">
        <f>"2A:field232:" &amp; IF(I476="■",1,IF(M476="■",2,0))</f>
        <v>2A:field232:0</v>
      </c>
    </row>
    <row r="477" spans="1:38" ht="19.5" customHeight="1" x14ac:dyDescent="0.15">
      <c r="A477" s="107"/>
      <c r="B477" s="108"/>
      <c r="C477" s="109"/>
      <c r="D477" s="110"/>
      <c r="E477" s="111"/>
      <c r="F477" s="112"/>
      <c r="G477" s="113"/>
      <c r="H477" s="114" t="s">
        <v>455</v>
      </c>
      <c r="I477" s="148" t="s">
        <v>348</v>
      </c>
      <c r="J477" s="115" t="s">
        <v>453</v>
      </c>
      <c r="K477" s="166"/>
      <c r="L477" s="116"/>
      <c r="M477" s="152" t="s">
        <v>348</v>
      </c>
      <c r="N477" s="115" t="s">
        <v>454</v>
      </c>
      <c r="O477" s="236"/>
      <c r="P477" s="115"/>
      <c r="Q477" s="145"/>
      <c r="R477" s="145"/>
      <c r="S477" s="145"/>
      <c r="T477" s="145"/>
      <c r="U477" s="145"/>
      <c r="V477" s="145"/>
      <c r="W477" s="145"/>
      <c r="X477" s="146"/>
      <c r="Y477" s="162"/>
      <c r="Z477" s="104"/>
      <c r="AA477" s="105"/>
      <c r="AB477" s="106"/>
      <c r="AC477" s="365"/>
      <c r="AD477" s="365"/>
      <c r="AE477" s="365"/>
      <c r="AF477" s="365"/>
      <c r="AG477" s="103"/>
      <c r="AH477" s="103"/>
      <c r="AI477" s="119" t="str">
        <f>"2A:field242:" &amp; IF(I477="■",1,IF(M477="■",2,0))</f>
        <v>2A:field242:0</v>
      </c>
      <c r="AJ477" s="103"/>
      <c r="AK477" s="103"/>
      <c r="AL477" s="103"/>
    </row>
    <row r="478" spans="1:38" s="119" customFormat="1" ht="18.75" customHeight="1" x14ac:dyDescent="0.15">
      <c r="A478" s="255"/>
      <c r="B478" s="256"/>
      <c r="C478" s="109"/>
      <c r="D478" s="110"/>
      <c r="E478" s="113"/>
      <c r="F478" s="110"/>
      <c r="G478" s="111"/>
      <c r="H478" s="230" t="s">
        <v>149</v>
      </c>
      <c r="I478" s="148" t="s">
        <v>348</v>
      </c>
      <c r="J478" s="149" t="s">
        <v>265</v>
      </c>
      <c r="K478" s="150"/>
      <c r="L478" s="151"/>
      <c r="M478" s="152" t="s">
        <v>348</v>
      </c>
      <c r="N478" s="149" t="s">
        <v>297</v>
      </c>
      <c r="O478" s="154"/>
      <c r="P478" s="154"/>
      <c r="Q478" s="154"/>
      <c r="R478" s="154"/>
      <c r="S478" s="154"/>
      <c r="T478" s="154"/>
      <c r="U478" s="154"/>
      <c r="V478" s="154"/>
      <c r="W478" s="154"/>
      <c r="X478" s="155"/>
      <c r="Y478" s="147"/>
      <c r="Z478" s="105"/>
      <c r="AA478" s="105"/>
      <c r="AB478" s="106"/>
      <c r="AC478" s="365"/>
      <c r="AD478" s="365"/>
      <c r="AE478" s="365"/>
      <c r="AF478" s="365"/>
      <c r="AI478" s="119" t="str">
        <f>"2A:field190:" &amp; IF(I478="■",1,IF(M478="■",2,0))</f>
        <v>2A:field190:0</v>
      </c>
    </row>
    <row r="479" spans="1:38" s="119" customFormat="1" ht="18.75" customHeight="1" x14ac:dyDescent="0.15">
      <c r="A479" s="255"/>
      <c r="B479" s="256"/>
      <c r="C479" s="109"/>
      <c r="D479" s="110"/>
      <c r="E479" s="113"/>
      <c r="F479" s="110"/>
      <c r="G479" s="111"/>
      <c r="H479" s="230" t="s">
        <v>150</v>
      </c>
      <c r="I479" s="148" t="s">
        <v>348</v>
      </c>
      <c r="J479" s="149" t="s">
        <v>265</v>
      </c>
      <c r="K479" s="150"/>
      <c r="L479" s="151"/>
      <c r="M479" s="152" t="s">
        <v>348</v>
      </c>
      <c r="N479" s="149" t="s">
        <v>297</v>
      </c>
      <c r="O479" s="154"/>
      <c r="P479" s="154"/>
      <c r="Q479" s="154"/>
      <c r="R479" s="154"/>
      <c r="S479" s="154"/>
      <c r="T479" s="154"/>
      <c r="U479" s="154"/>
      <c r="V479" s="154"/>
      <c r="W479" s="154"/>
      <c r="X479" s="155"/>
      <c r="Y479" s="147"/>
      <c r="Z479" s="105"/>
      <c r="AA479" s="105"/>
      <c r="AB479" s="106"/>
      <c r="AC479" s="365"/>
      <c r="AD479" s="365"/>
      <c r="AE479" s="365"/>
      <c r="AF479" s="365"/>
      <c r="AI479" s="119" t="str">
        <f>"2A:field191:" &amp; IF(I479="■",1,IF(M479="■",2,0))</f>
        <v>2A:field191:0</v>
      </c>
    </row>
    <row r="480" spans="1:38" s="119" customFormat="1" ht="18.75" customHeight="1" x14ac:dyDescent="0.15">
      <c r="A480" s="128" t="s">
        <v>348</v>
      </c>
      <c r="B480" s="256" t="s">
        <v>191</v>
      </c>
      <c r="C480" s="109" t="s">
        <v>172</v>
      </c>
      <c r="D480" s="123" t="s">
        <v>348</v>
      </c>
      <c r="E480" s="113" t="s">
        <v>345</v>
      </c>
      <c r="F480" s="123" t="s">
        <v>348</v>
      </c>
      <c r="G480" s="111" t="s">
        <v>330</v>
      </c>
      <c r="H480" s="230" t="s">
        <v>104</v>
      </c>
      <c r="I480" s="148" t="s">
        <v>348</v>
      </c>
      <c r="J480" s="149" t="s">
        <v>216</v>
      </c>
      <c r="K480" s="150"/>
      <c r="L480" s="152" t="s">
        <v>348</v>
      </c>
      <c r="M480" s="149" t="s">
        <v>232</v>
      </c>
      <c r="N480" s="154"/>
      <c r="O480" s="154"/>
      <c r="P480" s="154"/>
      <c r="Q480" s="154"/>
      <c r="R480" s="154"/>
      <c r="S480" s="154"/>
      <c r="T480" s="154"/>
      <c r="U480" s="154"/>
      <c r="V480" s="154"/>
      <c r="W480" s="154"/>
      <c r="X480" s="155"/>
      <c r="Y480" s="147"/>
      <c r="Z480" s="105"/>
      <c r="AA480" s="105"/>
      <c r="AB480" s="106"/>
      <c r="AC480" s="365"/>
      <c r="AD480" s="365"/>
      <c r="AE480" s="365"/>
      <c r="AF480" s="365"/>
      <c r="AI480" s="119" t="str">
        <f>"2A:jyakuninti_uke_code:" &amp; IF(I480="■",1,IF(L480="■",2,0))</f>
        <v>2A:jyakuninti_uke_code:0</v>
      </c>
    </row>
    <row r="481" spans="1:36" s="119" customFormat="1" ht="18.75" customHeight="1" x14ac:dyDescent="0.15">
      <c r="A481" s="255"/>
      <c r="B481" s="256"/>
      <c r="C481" s="109"/>
      <c r="D481" s="110"/>
      <c r="E481" s="113"/>
      <c r="F481" s="110"/>
      <c r="G481" s="111"/>
      <c r="H481" s="230" t="s">
        <v>94</v>
      </c>
      <c r="I481" s="148" t="s">
        <v>348</v>
      </c>
      <c r="J481" s="149" t="s">
        <v>230</v>
      </c>
      <c r="K481" s="150"/>
      <c r="L481" s="151"/>
      <c r="M481" s="152" t="s">
        <v>348</v>
      </c>
      <c r="N481" s="149" t="s">
        <v>231</v>
      </c>
      <c r="O481" s="154"/>
      <c r="P481" s="154"/>
      <c r="Q481" s="154"/>
      <c r="R481" s="154"/>
      <c r="S481" s="154"/>
      <c r="T481" s="154"/>
      <c r="U481" s="154"/>
      <c r="V481" s="154"/>
      <c r="W481" s="154"/>
      <c r="X481" s="155"/>
      <c r="Y481" s="147"/>
      <c r="Z481" s="105"/>
      <c r="AA481" s="105"/>
      <c r="AB481" s="106"/>
      <c r="AC481" s="365"/>
      <c r="AD481" s="365"/>
      <c r="AE481" s="365"/>
      <c r="AF481" s="365"/>
      <c r="AI481" s="119" t="str">
        <f>"2A:sougei_code:" &amp; IF(I481="■",1,IF(M481="■",2,0))</f>
        <v>2A:sougei_code:0</v>
      </c>
    </row>
    <row r="482" spans="1:36" s="119" customFormat="1" ht="19.5" customHeight="1" x14ac:dyDescent="0.15">
      <c r="A482" s="255"/>
      <c r="B482" s="256"/>
      <c r="C482" s="109"/>
      <c r="D482" s="110"/>
      <c r="E482" s="113"/>
      <c r="F482" s="110"/>
      <c r="G482" s="111"/>
      <c r="H482" s="114" t="s">
        <v>372</v>
      </c>
      <c r="I482" s="148" t="s">
        <v>348</v>
      </c>
      <c r="J482" s="149" t="s">
        <v>216</v>
      </c>
      <c r="K482" s="149"/>
      <c r="L482" s="152" t="s">
        <v>348</v>
      </c>
      <c r="M482" s="149" t="s">
        <v>232</v>
      </c>
      <c r="N482" s="149"/>
      <c r="O482" s="154"/>
      <c r="P482" s="149"/>
      <c r="Q482" s="154"/>
      <c r="R482" s="154"/>
      <c r="S482" s="154"/>
      <c r="T482" s="154"/>
      <c r="U482" s="154"/>
      <c r="V482" s="154"/>
      <c r="W482" s="154"/>
      <c r="X482" s="155"/>
      <c r="Y482" s="105"/>
      <c r="Z482" s="105"/>
      <c r="AA482" s="105"/>
      <c r="AB482" s="106"/>
      <c r="AC482" s="365"/>
      <c r="AD482" s="365"/>
      <c r="AE482" s="365"/>
      <c r="AF482" s="365"/>
      <c r="AI482" s="119" t="str">
        <f>"2A:field224:" &amp; IF(I482="■",1,IF(L482="■",2,0))</f>
        <v>2A:field224:0</v>
      </c>
    </row>
    <row r="483" spans="1:36" s="119" customFormat="1" ht="18.75" customHeight="1" x14ac:dyDescent="0.15">
      <c r="A483" s="255"/>
      <c r="B483" s="256"/>
      <c r="C483" s="109"/>
      <c r="D483" s="110"/>
      <c r="E483" s="113"/>
      <c r="F483" s="110"/>
      <c r="G483" s="111"/>
      <c r="H483" s="230" t="s">
        <v>106</v>
      </c>
      <c r="I483" s="148" t="s">
        <v>348</v>
      </c>
      <c r="J483" s="149" t="s">
        <v>216</v>
      </c>
      <c r="K483" s="150"/>
      <c r="L483" s="152" t="s">
        <v>348</v>
      </c>
      <c r="M483" s="149" t="s">
        <v>232</v>
      </c>
      <c r="N483" s="154"/>
      <c r="O483" s="154"/>
      <c r="P483" s="154"/>
      <c r="Q483" s="154"/>
      <c r="R483" s="154"/>
      <c r="S483" s="154"/>
      <c r="T483" s="154"/>
      <c r="U483" s="154"/>
      <c r="V483" s="154"/>
      <c r="W483" s="154"/>
      <c r="X483" s="155"/>
      <c r="Y483" s="147"/>
      <c r="Z483" s="105"/>
      <c r="AA483" s="105"/>
      <c r="AB483" s="106"/>
      <c r="AC483" s="365"/>
      <c r="AD483" s="365"/>
      <c r="AE483" s="365"/>
      <c r="AF483" s="365"/>
      <c r="AI483" s="119" t="str">
        <f>"2A:ryouyoushoku_code:" &amp; IF(I483="■",1,IF(L483="■",2,0))</f>
        <v>2A:ryouyoushoku_code:0</v>
      </c>
    </row>
    <row r="484" spans="1:36" s="119" customFormat="1" ht="18.75" customHeight="1" x14ac:dyDescent="0.15">
      <c r="A484" s="255"/>
      <c r="B484" s="256"/>
      <c r="C484" s="109"/>
      <c r="D484" s="110"/>
      <c r="E484" s="113"/>
      <c r="F484" s="110"/>
      <c r="G484" s="111"/>
      <c r="H484" s="230" t="s">
        <v>109</v>
      </c>
      <c r="I484" s="148" t="s">
        <v>348</v>
      </c>
      <c r="J484" s="149" t="s">
        <v>216</v>
      </c>
      <c r="K484" s="149"/>
      <c r="L484" s="152" t="s">
        <v>348</v>
      </c>
      <c r="M484" s="149" t="s">
        <v>217</v>
      </c>
      <c r="N484" s="149"/>
      <c r="O484" s="152" t="s">
        <v>348</v>
      </c>
      <c r="P484" s="149" t="s">
        <v>218</v>
      </c>
      <c r="Q484" s="154"/>
      <c r="R484" s="154"/>
      <c r="S484" s="154"/>
      <c r="T484" s="154"/>
      <c r="U484" s="154"/>
      <c r="V484" s="154"/>
      <c r="W484" s="154"/>
      <c r="X484" s="155"/>
      <c r="Y484" s="147"/>
      <c r="Z484" s="105"/>
      <c r="AA484" s="105"/>
      <c r="AB484" s="106"/>
      <c r="AC484" s="365"/>
      <c r="AD484" s="365"/>
      <c r="AE484" s="365"/>
      <c r="AF484" s="365"/>
      <c r="AI484" s="119" t="str">
        <f>"2A:ninti_senmoncare_code:" &amp; IF(I484="■",1,IF(O484="■",3,IF(L484="■",2,0)))</f>
        <v>2A:ninti_senmoncare_code:0</v>
      </c>
    </row>
    <row r="485" spans="1:36" s="119" customFormat="1" ht="18.75" customHeight="1" x14ac:dyDescent="0.15">
      <c r="A485" s="255"/>
      <c r="B485" s="256"/>
      <c r="C485" s="109"/>
      <c r="D485" s="110"/>
      <c r="E485" s="113"/>
      <c r="F485" s="110"/>
      <c r="G485" s="111"/>
      <c r="H485" s="230" t="s">
        <v>192</v>
      </c>
      <c r="I485" s="148" t="s">
        <v>348</v>
      </c>
      <c r="J485" s="149" t="s">
        <v>216</v>
      </c>
      <c r="K485" s="149"/>
      <c r="L485" s="152" t="s">
        <v>348</v>
      </c>
      <c r="M485" s="149" t="s">
        <v>217</v>
      </c>
      <c r="N485" s="149"/>
      <c r="O485" s="152" t="s">
        <v>348</v>
      </c>
      <c r="P485" s="149" t="s">
        <v>218</v>
      </c>
      <c r="Q485" s="154"/>
      <c r="R485" s="154"/>
      <c r="S485" s="154"/>
      <c r="T485" s="154"/>
      <c r="U485" s="154"/>
      <c r="V485" s="154"/>
      <c r="W485" s="154"/>
      <c r="X485" s="155"/>
      <c r="Y485" s="147"/>
      <c r="Z485" s="105"/>
      <c r="AA485" s="105"/>
      <c r="AB485" s="106"/>
      <c r="AC485" s="365"/>
      <c r="AD485" s="365"/>
      <c r="AE485" s="365"/>
      <c r="AF485" s="365"/>
      <c r="AI485" s="119" t="str">
        <f>"2A:field164:" &amp; IF(I485="■",1,IF(L485="■",2,IF(O485="■",3,0)))</f>
        <v>2A:field164:0</v>
      </c>
    </row>
    <row r="486" spans="1:36" s="119" customFormat="1" ht="18.75" customHeight="1" x14ac:dyDescent="0.15">
      <c r="A486" s="255"/>
      <c r="B486" s="256"/>
      <c r="C486" s="109"/>
      <c r="D486" s="110"/>
      <c r="E486" s="113"/>
      <c r="F486" s="110"/>
      <c r="G486" s="111"/>
      <c r="H486" s="240" t="s">
        <v>385</v>
      </c>
      <c r="I486" s="148" t="s">
        <v>348</v>
      </c>
      <c r="J486" s="149" t="s">
        <v>216</v>
      </c>
      <c r="K486" s="149"/>
      <c r="L486" s="152" t="s">
        <v>348</v>
      </c>
      <c r="M486" s="149" t="s">
        <v>217</v>
      </c>
      <c r="N486" s="149"/>
      <c r="O486" s="152" t="s">
        <v>348</v>
      </c>
      <c r="P486" s="149" t="s">
        <v>218</v>
      </c>
      <c r="Q486" s="154"/>
      <c r="R486" s="154"/>
      <c r="S486" s="154"/>
      <c r="T486" s="154"/>
      <c r="U486" s="241"/>
      <c r="V486" s="241"/>
      <c r="W486" s="241"/>
      <c r="X486" s="242"/>
      <c r="Y486" s="147"/>
      <c r="Z486" s="105"/>
      <c r="AA486" s="105"/>
      <c r="AB486" s="106"/>
      <c r="AC486" s="365"/>
      <c r="AD486" s="365"/>
      <c r="AE486" s="365"/>
      <c r="AF486" s="365"/>
      <c r="AI486" s="119" t="str">
        <f>"2A:field225:" &amp; IF(I486="■",1,IF(L486="■",2,IF(O486="■",3,0)))</f>
        <v>2A:field225:0</v>
      </c>
    </row>
    <row r="487" spans="1:36" s="119" customFormat="1" ht="18.75" customHeight="1" x14ac:dyDescent="0.15">
      <c r="A487" s="255"/>
      <c r="B487" s="256"/>
      <c r="C487" s="109"/>
      <c r="D487" s="110"/>
      <c r="E487" s="113"/>
      <c r="F487" s="110"/>
      <c r="G487" s="111"/>
      <c r="H487" s="157" t="s">
        <v>111</v>
      </c>
      <c r="I487" s="148" t="s">
        <v>348</v>
      </c>
      <c r="J487" s="149" t="s">
        <v>216</v>
      </c>
      <c r="K487" s="149"/>
      <c r="L487" s="152" t="s">
        <v>348</v>
      </c>
      <c r="M487" s="149" t="s">
        <v>224</v>
      </c>
      <c r="N487" s="149"/>
      <c r="O487" s="152" t="s">
        <v>348</v>
      </c>
      <c r="P487" s="149" t="s">
        <v>225</v>
      </c>
      <c r="Q487" s="196"/>
      <c r="R487" s="152" t="s">
        <v>348</v>
      </c>
      <c r="S487" s="149" t="s">
        <v>248</v>
      </c>
      <c r="T487" s="196"/>
      <c r="U487" s="196"/>
      <c r="V487" s="196"/>
      <c r="W487" s="196"/>
      <c r="X487" s="197"/>
      <c r="Y487" s="147"/>
      <c r="Z487" s="105"/>
      <c r="AA487" s="105"/>
      <c r="AB487" s="106"/>
      <c r="AC487" s="365"/>
      <c r="AD487" s="365"/>
      <c r="AE487" s="365"/>
      <c r="AF487" s="365"/>
      <c r="AI487" s="119" t="str">
        <f>"2A:serteikyo_kyoka_code:" &amp; IF(I487="■",1,IF(L487="■",6,IF(O487="■",5,IF(R487="■",7,0))))</f>
        <v>2A:serteikyo_kyoka_code:0</v>
      </c>
    </row>
    <row r="488" spans="1:36" s="119" customFormat="1" ht="18.75" customHeight="1" x14ac:dyDescent="0.15">
      <c r="A488" s="255"/>
      <c r="B488" s="256"/>
      <c r="C488" s="109"/>
      <c r="D488" s="110"/>
      <c r="E488" s="113"/>
      <c r="F488" s="110"/>
      <c r="G488" s="111"/>
      <c r="H488" s="329" t="s">
        <v>409</v>
      </c>
      <c r="I488" s="358" t="s">
        <v>348</v>
      </c>
      <c r="J488" s="359" t="s">
        <v>216</v>
      </c>
      <c r="K488" s="359"/>
      <c r="L488" s="360" t="s">
        <v>348</v>
      </c>
      <c r="M488" s="359" t="s">
        <v>232</v>
      </c>
      <c r="N488" s="359"/>
      <c r="O488" s="160"/>
      <c r="P488" s="160"/>
      <c r="Q488" s="160"/>
      <c r="R488" s="160"/>
      <c r="S488" s="160"/>
      <c r="T488" s="160"/>
      <c r="U488" s="160"/>
      <c r="V488" s="160"/>
      <c r="W488" s="160"/>
      <c r="X488" s="163"/>
      <c r="Y488" s="147"/>
      <c r="Z488" s="105"/>
      <c r="AA488" s="105"/>
      <c r="AB488" s="106"/>
      <c r="AC488" s="365"/>
      <c r="AD488" s="365"/>
      <c r="AE488" s="365"/>
      <c r="AF488" s="365"/>
      <c r="AI488" s="119" t="str">
        <f>"2A:field221:" &amp; IF(I488="■",1,IF(L488="■",2,0))</f>
        <v>2A:field221:0</v>
      </c>
    </row>
    <row r="489" spans="1:36" s="119" customFormat="1" ht="18.75" customHeight="1" x14ac:dyDescent="0.15">
      <c r="A489" s="255"/>
      <c r="B489" s="256"/>
      <c r="C489" s="109"/>
      <c r="D489" s="110"/>
      <c r="E489" s="113"/>
      <c r="F489" s="110"/>
      <c r="G489" s="111"/>
      <c r="H489" s="328"/>
      <c r="I489" s="358"/>
      <c r="J489" s="359"/>
      <c r="K489" s="359"/>
      <c r="L489" s="360"/>
      <c r="M489" s="359"/>
      <c r="N489" s="359"/>
      <c r="O489" s="115"/>
      <c r="P489" s="115"/>
      <c r="Q489" s="115"/>
      <c r="R489" s="115"/>
      <c r="S489" s="115"/>
      <c r="T489" s="115"/>
      <c r="U489" s="115"/>
      <c r="V489" s="115"/>
      <c r="W489" s="115"/>
      <c r="X489" s="161"/>
      <c r="Y489" s="147"/>
      <c r="Z489" s="105"/>
      <c r="AA489" s="105"/>
      <c r="AB489" s="106"/>
      <c r="AC489" s="365"/>
      <c r="AD489" s="365"/>
      <c r="AE489" s="365"/>
      <c r="AF489" s="365"/>
    </row>
    <row r="490" spans="1:36" s="119" customFormat="1" ht="18.75" customHeight="1" x14ac:dyDescent="0.15">
      <c r="A490" s="107"/>
      <c r="B490" s="108"/>
      <c r="C490" s="109"/>
      <c r="D490" s="110"/>
      <c r="E490" s="111"/>
      <c r="F490" s="112"/>
      <c r="G490" s="113"/>
      <c r="H490" s="204" t="s">
        <v>405</v>
      </c>
      <c r="I490" s="194" t="s">
        <v>348</v>
      </c>
      <c r="J490" s="160" t="s">
        <v>216</v>
      </c>
      <c r="K490" s="160"/>
      <c r="L490" s="195" t="s">
        <v>348</v>
      </c>
      <c r="M490" s="160" t="s">
        <v>373</v>
      </c>
      <c r="N490" s="246"/>
      <c r="O490" s="195" t="s">
        <v>348</v>
      </c>
      <c r="P490" s="104" t="s">
        <v>374</v>
      </c>
      <c r="Q490" s="247"/>
      <c r="R490" s="195" t="s">
        <v>348</v>
      </c>
      <c r="S490" s="160" t="s">
        <v>375</v>
      </c>
      <c r="T490" s="247"/>
      <c r="U490" s="195" t="s">
        <v>348</v>
      </c>
      <c r="V490" s="160" t="s">
        <v>376</v>
      </c>
      <c r="W490" s="241"/>
      <c r="X490" s="242"/>
      <c r="Y490" s="105"/>
      <c r="Z490" s="105"/>
      <c r="AA490" s="105"/>
      <c r="AB490" s="106"/>
      <c r="AC490" s="365"/>
      <c r="AD490" s="365"/>
      <c r="AE490" s="365"/>
      <c r="AF490" s="365"/>
      <c r="AI490" s="119" t="str">
        <f>"2A:shoguukaizen_code:"&amp;IF(I490="■",1,IF(L490="■",7,IF(O490="■",8,IF(R490="■",9,IF(U490="■","A",0)))))</f>
        <v>2A:shoguukaizen_code:0</v>
      </c>
    </row>
    <row r="491" spans="1:36" s="119" customFormat="1" ht="18.75" customHeight="1" x14ac:dyDescent="0.15">
      <c r="A491" s="253"/>
      <c r="B491" s="254"/>
      <c r="C491" s="132"/>
      <c r="D491" s="133"/>
      <c r="E491" s="126"/>
      <c r="F491" s="134"/>
      <c r="G491" s="126"/>
      <c r="H491" s="340" t="s">
        <v>96</v>
      </c>
      <c r="I491" s="140" t="s">
        <v>348</v>
      </c>
      <c r="J491" s="124" t="s">
        <v>265</v>
      </c>
      <c r="K491" s="137"/>
      <c r="L491" s="231"/>
      <c r="M491" s="136" t="s">
        <v>348</v>
      </c>
      <c r="N491" s="124" t="s">
        <v>293</v>
      </c>
      <c r="O491" s="232"/>
      <c r="P491" s="232"/>
      <c r="Q491" s="136" t="s">
        <v>348</v>
      </c>
      <c r="R491" s="124" t="s">
        <v>294</v>
      </c>
      <c r="S491" s="232"/>
      <c r="T491" s="232"/>
      <c r="U491" s="136" t="s">
        <v>348</v>
      </c>
      <c r="V491" s="124" t="s">
        <v>295</v>
      </c>
      <c r="W491" s="232"/>
      <c r="X491" s="213"/>
      <c r="Y491" s="136" t="s">
        <v>348</v>
      </c>
      <c r="Z491" s="124" t="s">
        <v>215</v>
      </c>
      <c r="AA491" s="124"/>
      <c r="AB491" s="139"/>
      <c r="AC491" s="363"/>
      <c r="AD491" s="363"/>
      <c r="AE491" s="363"/>
      <c r="AF491" s="363"/>
      <c r="AG491" s="119" t="str">
        <f>"ser_code = '" &amp; IF(A503="■","2A","") &amp; "'"</f>
        <v>ser_code = ''</v>
      </c>
      <c r="AH491" s="119" t="str">
        <f>"2A:jininkbn_code:"&amp;IF(F503="■",1,IF(F504="■",2,0))</f>
        <v>2A:jininkbn_code:0</v>
      </c>
      <c r="AI491" s="119" t="str">
        <f>"2A:yakan_kinmu_code:" &amp; IF(I491="■",1,IF(M491="■",2,IF(Q491="■",3,IF(U491="■",7,IF(I492="■",5,IF(M492="■",6,0))))))</f>
        <v>2A:yakan_kinmu_code:0</v>
      </c>
      <c r="AJ491" s="119" t="str">
        <f>"2A:field203:" &amp; IF(Y491="■",1,IF(Y492="■",2,0))</f>
        <v>2A:field203:0</v>
      </c>
    </row>
    <row r="492" spans="1:36" s="119" customFormat="1" ht="18.75" customHeight="1" x14ac:dyDescent="0.15">
      <c r="A492" s="255"/>
      <c r="B492" s="256"/>
      <c r="C492" s="109"/>
      <c r="D492" s="110"/>
      <c r="E492" s="111"/>
      <c r="F492" s="112"/>
      <c r="G492" s="111"/>
      <c r="H492" s="371"/>
      <c r="I492" s="143" t="s">
        <v>348</v>
      </c>
      <c r="J492" s="115" t="s">
        <v>296</v>
      </c>
      <c r="K492" s="166"/>
      <c r="L492" s="116"/>
      <c r="M492" s="191" t="s">
        <v>348</v>
      </c>
      <c r="N492" s="115" t="s">
        <v>266</v>
      </c>
      <c r="O492" s="144"/>
      <c r="P492" s="144"/>
      <c r="Q492" s="144"/>
      <c r="R492" s="144"/>
      <c r="S492" s="144"/>
      <c r="T492" s="144"/>
      <c r="U492" s="144"/>
      <c r="V492" s="144"/>
      <c r="W492" s="144"/>
      <c r="X492" s="226"/>
      <c r="Y492" s="123" t="s">
        <v>348</v>
      </c>
      <c r="Z492" s="104" t="s">
        <v>221</v>
      </c>
      <c r="AA492" s="105"/>
      <c r="AB492" s="106"/>
      <c r="AC492" s="364"/>
      <c r="AD492" s="364"/>
      <c r="AE492" s="364"/>
      <c r="AF492" s="364"/>
      <c r="AG492" s="119" t="str">
        <f>"2A:sisetukbn_code:"&amp;IF(D503="■","4",0)</f>
        <v>2A:sisetukbn_code:0</v>
      </c>
    </row>
    <row r="493" spans="1:36" s="119" customFormat="1" ht="18.75" customHeight="1" x14ac:dyDescent="0.15">
      <c r="A493" s="255"/>
      <c r="B493" s="256"/>
      <c r="C493" s="109"/>
      <c r="D493" s="110"/>
      <c r="E493" s="111"/>
      <c r="F493" s="112"/>
      <c r="G493" s="111"/>
      <c r="H493" s="370" t="s">
        <v>92</v>
      </c>
      <c r="I493" s="194" t="s">
        <v>348</v>
      </c>
      <c r="J493" s="160" t="s">
        <v>216</v>
      </c>
      <c r="K493" s="160"/>
      <c r="L493" s="205"/>
      <c r="M493" s="195" t="s">
        <v>348</v>
      </c>
      <c r="N493" s="160" t="s">
        <v>254</v>
      </c>
      <c r="O493" s="160"/>
      <c r="P493" s="205"/>
      <c r="Q493" s="195" t="s">
        <v>348</v>
      </c>
      <c r="R493" s="198" t="s">
        <v>337</v>
      </c>
      <c r="S493" s="198"/>
      <c r="T493" s="198"/>
      <c r="U493" s="241"/>
      <c r="V493" s="205"/>
      <c r="W493" s="198"/>
      <c r="X493" s="242"/>
      <c r="Y493" s="147"/>
      <c r="Z493" s="105"/>
      <c r="AA493" s="105"/>
      <c r="AB493" s="106"/>
      <c r="AC493" s="365"/>
      <c r="AD493" s="365"/>
      <c r="AE493" s="365"/>
      <c r="AF493" s="365"/>
      <c r="AI493" s="119" t="str">
        <f>"2A:"&amp;IF(AND(I493="□",M493="□",Q493="□",I494="□",M494="□"),"ketu_doctor_code:0",IF(I493="■","ketu_doctor_code:1:field197:1:ketu_kangos_code:1:ketu_kshoku_code:1",IF(M493="■","ketu_doctor_code:2","ketu_doctor_code:1")
&amp;IF(Q493="■",":field197:2",":field197:1")
&amp;IF(I494="■",":ketu_kangos_code:2",":ketu_kangos_code:1")
&amp;IF(M494="■",":ketu_kshoku_code:2",":ketu_kshoku_code:1")))</f>
        <v>2A:ketu_doctor_code:0</v>
      </c>
    </row>
    <row r="494" spans="1:36" s="119" customFormat="1" ht="18.75" customHeight="1" x14ac:dyDescent="0.15">
      <c r="A494" s="255"/>
      <c r="B494" s="256"/>
      <c r="C494" s="109"/>
      <c r="D494" s="110"/>
      <c r="E494" s="111"/>
      <c r="F494" s="112"/>
      <c r="G494" s="111"/>
      <c r="H494" s="371"/>
      <c r="I494" s="143" t="s">
        <v>348</v>
      </c>
      <c r="J494" s="144" t="s">
        <v>338</v>
      </c>
      <c r="K494" s="144"/>
      <c r="L494" s="144"/>
      <c r="M494" s="191" t="s">
        <v>348</v>
      </c>
      <c r="N494" s="144" t="s">
        <v>339</v>
      </c>
      <c r="O494" s="116"/>
      <c r="P494" s="144"/>
      <c r="Q494" s="144"/>
      <c r="R494" s="116"/>
      <c r="S494" s="144"/>
      <c r="T494" s="144"/>
      <c r="U494" s="145"/>
      <c r="V494" s="116"/>
      <c r="W494" s="144"/>
      <c r="X494" s="146"/>
      <c r="Y494" s="147"/>
      <c r="Z494" s="105"/>
      <c r="AA494" s="105"/>
      <c r="AB494" s="106"/>
      <c r="AC494" s="365"/>
      <c r="AD494" s="365"/>
      <c r="AE494" s="365"/>
      <c r="AF494" s="365"/>
    </row>
    <row r="495" spans="1:36" s="119" customFormat="1" ht="18.75" customHeight="1" x14ac:dyDescent="0.15">
      <c r="A495" s="255"/>
      <c r="B495" s="256"/>
      <c r="C495" s="109"/>
      <c r="D495" s="110"/>
      <c r="E495" s="111"/>
      <c r="F495" s="112"/>
      <c r="G495" s="111"/>
      <c r="H495" s="230" t="s">
        <v>97</v>
      </c>
      <c r="I495" s="148" t="s">
        <v>348</v>
      </c>
      <c r="J495" s="149" t="s">
        <v>230</v>
      </c>
      <c r="K495" s="150"/>
      <c r="L495" s="151"/>
      <c r="M495" s="152" t="s">
        <v>348</v>
      </c>
      <c r="N495" s="149" t="s">
        <v>231</v>
      </c>
      <c r="O495" s="154"/>
      <c r="P495" s="154"/>
      <c r="Q495" s="154"/>
      <c r="R495" s="154"/>
      <c r="S495" s="154"/>
      <c r="T495" s="154"/>
      <c r="U495" s="154"/>
      <c r="V495" s="154"/>
      <c r="W495" s="154"/>
      <c r="X495" s="155"/>
      <c r="Y495" s="147"/>
      <c r="Z495" s="105"/>
      <c r="AA495" s="105"/>
      <c r="AB495" s="106"/>
      <c r="AC495" s="365"/>
      <c r="AD495" s="365"/>
      <c r="AE495" s="365"/>
      <c r="AF495" s="365"/>
      <c r="AI495" s="119" t="str">
        <f>"2A:unitcare_code:" &amp; IF(I495="■",1,IF(M495="■",2,0))</f>
        <v>2A:unitcare_code:0</v>
      </c>
    </row>
    <row r="496" spans="1:36" s="119" customFormat="1" ht="18.75" customHeight="1" x14ac:dyDescent="0.15">
      <c r="A496" s="107"/>
      <c r="B496" s="108"/>
      <c r="C496" s="238"/>
      <c r="D496" s="239"/>
      <c r="E496" s="111"/>
      <c r="F496" s="112"/>
      <c r="G496" s="113"/>
      <c r="H496" s="230" t="s">
        <v>103</v>
      </c>
      <c r="I496" s="148" t="s">
        <v>348</v>
      </c>
      <c r="J496" s="149" t="s">
        <v>360</v>
      </c>
      <c r="K496" s="150"/>
      <c r="L496" s="151"/>
      <c r="M496" s="152" t="s">
        <v>348</v>
      </c>
      <c r="N496" s="149" t="s">
        <v>361</v>
      </c>
      <c r="O496" s="150"/>
      <c r="P496" s="150"/>
      <c r="Q496" s="150"/>
      <c r="R496" s="150"/>
      <c r="S496" s="150"/>
      <c r="T496" s="150"/>
      <c r="U496" s="150"/>
      <c r="V496" s="150"/>
      <c r="W496" s="150"/>
      <c r="X496" s="159"/>
      <c r="Y496" s="147"/>
      <c r="Z496" s="105"/>
      <c r="AA496" s="105"/>
      <c r="AB496" s="106"/>
      <c r="AC496" s="365"/>
      <c r="AD496" s="365"/>
      <c r="AE496" s="365"/>
      <c r="AF496" s="365"/>
      <c r="AI496" s="119" t="str">
        <f>"2A:sintaikousoku_code:" &amp; IF(I496="■",1,IF(M496="■",2,0))</f>
        <v>2A:sintaikousoku_code:0</v>
      </c>
    </row>
    <row r="497" spans="1:35" s="119" customFormat="1" ht="19.5" customHeight="1" x14ac:dyDescent="0.15">
      <c r="A497" s="107"/>
      <c r="B497" s="108"/>
      <c r="C497" s="109"/>
      <c r="D497" s="110"/>
      <c r="E497" s="111"/>
      <c r="F497" s="112"/>
      <c r="G497" s="113"/>
      <c r="H497" s="114" t="s">
        <v>369</v>
      </c>
      <c r="I497" s="148" t="s">
        <v>348</v>
      </c>
      <c r="J497" s="149" t="s">
        <v>360</v>
      </c>
      <c r="K497" s="150"/>
      <c r="L497" s="151"/>
      <c r="M497" s="152" t="s">
        <v>348</v>
      </c>
      <c r="N497" s="149" t="s">
        <v>370</v>
      </c>
      <c r="O497" s="153"/>
      <c r="P497" s="149"/>
      <c r="Q497" s="154"/>
      <c r="R497" s="154"/>
      <c r="S497" s="154"/>
      <c r="T497" s="154"/>
      <c r="U497" s="154"/>
      <c r="V497" s="154"/>
      <c r="W497" s="154"/>
      <c r="X497" s="155"/>
      <c r="Y497" s="105"/>
      <c r="Z497" s="105"/>
      <c r="AA497" s="105"/>
      <c r="AB497" s="106"/>
      <c r="AC497" s="365"/>
      <c r="AD497" s="365"/>
      <c r="AE497" s="365"/>
      <c r="AF497" s="365"/>
      <c r="AI497" s="119" t="str">
        <f>"2A:field223:" &amp; IF(I497="■",1,IF(M497="■",2,0))</f>
        <v>2A:field223:0</v>
      </c>
    </row>
    <row r="498" spans="1:35" s="119" customFormat="1" ht="19.5" customHeight="1" x14ac:dyDescent="0.15">
      <c r="A498" s="107"/>
      <c r="B498" s="108"/>
      <c r="C498" s="109"/>
      <c r="D498" s="110"/>
      <c r="E498" s="111"/>
      <c r="F498" s="112"/>
      <c r="G498" s="113"/>
      <c r="H498" s="114" t="s">
        <v>390</v>
      </c>
      <c r="I498" s="148" t="s">
        <v>348</v>
      </c>
      <c r="J498" s="149" t="s">
        <v>360</v>
      </c>
      <c r="K498" s="150"/>
      <c r="L498" s="151"/>
      <c r="M498" s="152" t="s">
        <v>348</v>
      </c>
      <c r="N498" s="149" t="s">
        <v>370</v>
      </c>
      <c r="O498" s="153"/>
      <c r="P498" s="149"/>
      <c r="Q498" s="154"/>
      <c r="R498" s="154"/>
      <c r="S498" s="154"/>
      <c r="T498" s="154"/>
      <c r="U498" s="154"/>
      <c r="V498" s="154"/>
      <c r="W498" s="154"/>
      <c r="X498" s="155"/>
      <c r="Y498" s="105"/>
      <c r="Z498" s="105"/>
      <c r="AA498" s="105"/>
      <c r="AB498" s="106"/>
      <c r="AC498" s="365"/>
      <c r="AD498" s="365"/>
      <c r="AE498" s="365"/>
      <c r="AF498" s="365"/>
      <c r="AI498" s="119" t="str">
        <f>"2A:field232:" &amp; IF(I498="■",1,IF(M498="■",2,0))</f>
        <v>2A:field232:0</v>
      </c>
    </row>
    <row r="499" spans="1:35" s="119" customFormat="1" ht="18.75" customHeight="1" x14ac:dyDescent="0.15">
      <c r="A499" s="255"/>
      <c r="B499" s="256"/>
      <c r="C499" s="109"/>
      <c r="D499" s="110"/>
      <c r="E499" s="111"/>
      <c r="F499" s="112"/>
      <c r="G499" s="111"/>
      <c r="H499" s="230" t="s">
        <v>149</v>
      </c>
      <c r="I499" s="148" t="s">
        <v>348</v>
      </c>
      <c r="J499" s="149" t="s">
        <v>265</v>
      </c>
      <c r="K499" s="150"/>
      <c r="L499" s="151"/>
      <c r="M499" s="152" t="s">
        <v>348</v>
      </c>
      <c r="N499" s="149" t="s">
        <v>297</v>
      </c>
      <c r="O499" s="154"/>
      <c r="P499" s="154"/>
      <c r="Q499" s="154"/>
      <c r="R499" s="154"/>
      <c r="S499" s="154"/>
      <c r="T499" s="154"/>
      <c r="U499" s="154"/>
      <c r="V499" s="154"/>
      <c r="W499" s="154"/>
      <c r="X499" s="155"/>
      <c r="Y499" s="147"/>
      <c r="Z499" s="105"/>
      <c r="AA499" s="105"/>
      <c r="AB499" s="106"/>
      <c r="AC499" s="365"/>
      <c r="AD499" s="365"/>
      <c r="AE499" s="365"/>
      <c r="AF499" s="365"/>
      <c r="AI499" s="119" t="str">
        <f>"2A:field190:" &amp; IF(I499="■",1,IF(M499="■",2,0))</f>
        <v>2A:field190:0</v>
      </c>
    </row>
    <row r="500" spans="1:35" s="119" customFormat="1" ht="18.75" customHeight="1" x14ac:dyDescent="0.15">
      <c r="A500" s="255"/>
      <c r="B500" s="256"/>
      <c r="C500" s="109"/>
      <c r="D500" s="110"/>
      <c r="E500" s="111"/>
      <c r="F500" s="112"/>
      <c r="G500" s="111"/>
      <c r="H500" s="230" t="s">
        <v>150</v>
      </c>
      <c r="I500" s="148" t="s">
        <v>348</v>
      </c>
      <c r="J500" s="149" t="s">
        <v>265</v>
      </c>
      <c r="K500" s="150"/>
      <c r="L500" s="151"/>
      <c r="M500" s="152" t="s">
        <v>348</v>
      </c>
      <c r="N500" s="149" t="s">
        <v>297</v>
      </c>
      <c r="O500" s="154"/>
      <c r="P500" s="154"/>
      <c r="Q500" s="154"/>
      <c r="R500" s="154"/>
      <c r="S500" s="154"/>
      <c r="T500" s="154"/>
      <c r="U500" s="154"/>
      <c r="V500" s="154"/>
      <c r="W500" s="154"/>
      <c r="X500" s="155"/>
      <c r="Y500" s="147"/>
      <c r="Z500" s="105"/>
      <c r="AA500" s="105"/>
      <c r="AB500" s="106"/>
      <c r="AC500" s="365"/>
      <c r="AD500" s="365"/>
      <c r="AE500" s="365"/>
      <c r="AF500" s="365"/>
      <c r="AI500" s="119" t="str">
        <f>"2A:field191:" &amp; IF(I500="■",1,IF(M500="■",2,0))</f>
        <v>2A:field191:0</v>
      </c>
    </row>
    <row r="501" spans="1:35" s="119" customFormat="1" ht="18.75" customHeight="1" x14ac:dyDescent="0.15">
      <c r="A501" s="255"/>
      <c r="B501" s="256"/>
      <c r="C501" s="109"/>
      <c r="D501" s="110"/>
      <c r="E501" s="111"/>
      <c r="F501" s="112"/>
      <c r="G501" s="111"/>
      <c r="H501" s="230" t="s">
        <v>104</v>
      </c>
      <c r="I501" s="148" t="s">
        <v>348</v>
      </c>
      <c r="J501" s="149" t="s">
        <v>216</v>
      </c>
      <c r="K501" s="150"/>
      <c r="L501" s="152" t="s">
        <v>348</v>
      </c>
      <c r="M501" s="149" t="s">
        <v>232</v>
      </c>
      <c r="N501" s="154"/>
      <c r="O501" s="154"/>
      <c r="P501" s="154"/>
      <c r="Q501" s="154"/>
      <c r="R501" s="154"/>
      <c r="S501" s="154"/>
      <c r="T501" s="154"/>
      <c r="U501" s="154"/>
      <c r="V501" s="154"/>
      <c r="W501" s="154"/>
      <c r="X501" s="155"/>
      <c r="Y501" s="147"/>
      <c r="Z501" s="105"/>
      <c r="AA501" s="105"/>
      <c r="AB501" s="106"/>
      <c r="AC501" s="365"/>
      <c r="AD501" s="365"/>
      <c r="AE501" s="365"/>
      <c r="AF501" s="365"/>
      <c r="AI501" s="119" t="str">
        <f>"2A:jyakuninti_uke_code:" &amp; IF(I501="■",1,IF(L501="■",2,0))</f>
        <v>2A:jyakuninti_uke_code:0</v>
      </c>
    </row>
    <row r="502" spans="1:35" s="119" customFormat="1" ht="18.75" customHeight="1" x14ac:dyDescent="0.15">
      <c r="A502" s="255"/>
      <c r="B502" s="256"/>
      <c r="C502" s="109"/>
      <c r="D502" s="110"/>
      <c r="E502" s="111"/>
      <c r="F502" s="112"/>
      <c r="G502" s="111"/>
      <c r="H502" s="230" t="s">
        <v>94</v>
      </c>
      <c r="I502" s="148" t="s">
        <v>348</v>
      </c>
      <c r="J502" s="149" t="s">
        <v>230</v>
      </c>
      <c r="K502" s="150"/>
      <c r="L502" s="151"/>
      <c r="M502" s="152" t="s">
        <v>348</v>
      </c>
      <c r="N502" s="149" t="s">
        <v>231</v>
      </c>
      <c r="O502" s="154"/>
      <c r="P502" s="154"/>
      <c r="Q502" s="154"/>
      <c r="R502" s="154"/>
      <c r="S502" s="154"/>
      <c r="T502" s="154"/>
      <c r="U502" s="154"/>
      <c r="V502" s="154"/>
      <c r="W502" s="154"/>
      <c r="X502" s="155"/>
      <c r="Y502" s="147"/>
      <c r="Z502" s="105"/>
      <c r="AA502" s="105"/>
      <c r="AB502" s="106"/>
      <c r="AC502" s="365"/>
      <c r="AD502" s="365"/>
      <c r="AE502" s="365"/>
      <c r="AF502" s="365"/>
      <c r="AI502" s="119" t="str">
        <f>"2A:sougei_code:" &amp; IF(I502="■",1,IF(M502="■",2,0))</f>
        <v>2A:sougei_code:0</v>
      </c>
    </row>
    <row r="503" spans="1:35" s="119" customFormat="1" ht="19.5" customHeight="1" x14ac:dyDescent="0.15">
      <c r="A503" s="128" t="s">
        <v>348</v>
      </c>
      <c r="B503" s="256" t="s">
        <v>191</v>
      </c>
      <c r="C503" s="109" t="s">
        <v>172</v>
      </c>
      <c r="D503" s="123" t="s">
        <v>348</v>
      </c>
      <c r="E503" s="111" t="s">
        <v>156</v>
      </c>
      <c r="F503" s="123" t="s">
        <v>348</v>
      </c>
      <c r="G503" s="111" t="s">
        <v>333</v>
      </c>
      <c r="H503" s="114" t="s">
        <v>372</v>
      </c>
      <c r="I503" s="148" t="s">
        <v>348</v>
      </c>
      <c r="J503" s="149" t="s">
        <v>216</v>
      </c>
      <c r="K503" s="149"/>
      <c r="L503" s="152" t="s">
        <v>348</v>
      </c>
      <c r="M503" s="149" t="s">
        <v>232</v>
      </c>
      <c r="N503" s="149"/>
      <c r="O503" s="154"/>
      <c r="P503" s="149"/>
      <c r="Q503" s="154"/>
      <c r="R503" s="154"/>
      <c r="S503" s="154"/>
      <c r="T503" s="154"/>
      <c r="U503" s="154"/>
      <c r="V503" s="154"/>
      <c r="W503" s="154"/>
      <c r="X503" s="155"/>
      <c r="Y503" s="105"/>
      <c r="Z503" s="105"/>
      <c r="AA503" s="105"/>
      <c r="AB503" s="106"/>
      <c r="AC503" s="365"/>
      <c r="AD503" s="365"/>
      <c r="AE503" s="365"/>
      <c r="AF503" s="365"/>
      <c r="AI503" s="119" t="str">
        <f>"2A:field224:" &amp; IF(I503="■",1,IF(L503="■",2,0))</f>
        <v>2A:field224:0</v>
      </c>
    </row>
    <row r="504" spans="1:35" s="119" customFormat="1" ht="18.75" customHeight="1" x14ac:dyDescent="0.15">
      <c r="A504" s="255"/>
      <c r="B504" s="256"/>
      <c r="C504" s="109"/>
      <c r="D504" s="110"/>
      <c r="E504" s="111"/>
      <c r="F504" s="123" t="s">
        <v>348</v>
      </c>
      <c r="G504" s="111" t="s">
        <v>334</v>
      </c>
      <c r="H504" s="230" t="s">
        <v>106</v>
      </c>
      <c r="I504" s="148" t="s">
        <v>348</v>
      </c>
      <c r="J504" s="149" t="s">
        <v>216</v>
      </c>
      <c r="K504" s="150"/>
      <c r="L504" s="152" t="s">
        <v>348</v>
      </c>
      <c r="M504" s="149" t="s">
        <v>232</v>
      </c>
      <c r="N504" s="154"/>
      <c r="O504" s="154"/>
      <c r="P504" s="154"/>
      <c r="Q504" s="154"/>
      <c r="R504" s="154"/>
      <c r="S504" s="154"/>
      <c r="T504" s="154"/>
      <c r="U504" s="154"/>
      <c r="V504" s="154"/>
      <c r="W504" s="154"/>
      <c r="X504" s="155"/>
      <c r="Y504" s="147"/>
      <c r="Z504" s="105"/>
      <c r="AA504" s="105"/>
      <c r="AB504" s="106"/>
      <c r="AC504" s="365"/>
      <c r="AD504" s="365"/>
      <c r="AE504" s="365"/>
      <c r="AF504" s="365"/>
      <c r="AI504" s="119" t="str">
        <f>"2A:ryouyoushoku_code:" &amp; IF(I504="■",1,IF(L504="■",2,0))</f>
        <v>2A:ryouyoushoku_code:0</v>
      </c>
    </row>
    <row r="505" spans="1:35" s="119" customFormat="1" ht="18.75" customHeight="1" x14ac:dyDescent="0.15">
      <c r="A505" s="255"/>
      <c r="B505" s="256"/>
      <c r="C505" s="109"/>
      <c r="D505" s="110"/>
      <c r="E505" s="111"/>
      <c r="F505" s="110"/>
      <c r="G505" s="111"/>
      <c r="H505" s="230" t="s">
        <v>109</v>
      </c>
      <c r="I505" s="148" t="s">
        <v>348</v>
      </c>
      <c r="J505" s="149" t="s">
        <v>216</v>
      </c>
      <c r="K505" s="149"/>
      <c r="L505" s="152" t="s">
        <v>348</v>
      </c>
      <c r="M505" s="149" t="s">
        <v>217</v>
      </c>
      <c r="N505" s="149"/>
      <c r="O505" s="152" t="s">
        <v>348</v>
      </c>
      <c r="P505" s="149" t="s">
        <v>218</v>
      </c>
      <c r="Q505" s="154"/>
      <c r="R505" s="154"/>
      <c r="S505" s="154"/>
      <c r="T505" s="154"/>
      <c r="U505" s="154"/>
      <c r="V505" s="154"/>
      <c r="W505" s="154"/>
      <c r="X505" s="155"/>
      <c r="Y505" s="147"/>
      <c r="Z505" s="105"/>
      <c r="AA505" s="105"/>
      <c r="AB505" s="106"/>
      <c r="AC505" s="365"/>
      <c r="AD505" s="365"/>
      <c r="AE505" s="365"/>
      <c r="AF505" s="365"/>
      <c r="AI505" s="119" t="str">
        <f>"2A:ninti_senmoncare_code:" &amp; IF(I505="■",1,IF(O505="■",3,IF(L505="■",2,0)))</f>
        <v>2A:ninti_senmoncare_code:0</v>
      </c>
    </row>
    <row r="506" spans="1:35" s="119" customFormat="1" ht="18.75" customHeight="1" x14ac:dyDescent="0.15">
      <c r="A506" s="255"/>
      <c r="B506" s="256"/>
      <c r="C506" s="109"/>
      <c r="D506" s="110"/>
      <c r="E506" s="111"/>
      <c r="F506" s="110"/>
      <c r="G506" s="111"/>
      <c r="H506" s="230" t="s">
        <v>129</v>
      </c>
      <c r="I506" s="148" t="s">
        <v>348</v>
      </c>
      <c r="J506" s="149" t="s">
        <v>216</v>
      </c>
      <c r="K506" s="149"/>
      <c r="L506" s="152" t="s">
        <v>348</v>
      </c>
      <c r="M506" s="149" t="s">
        <v>217</v>
      </c>
      <c r="N506" s="149"/>
      <c r="O506" s="152" t="s">
        <v>348</v>
      </c>
      <c r="P506" s="149" t="s">
        <v>218</v>
      </c>
      <c r="Q506" s="154"/>
      <c r="R506" s="154"/>
      <c r="S506" s="154"/>
      <c r="T506" s="154"/>
      <c r="U506" s="154"/>
      <c r="V506" s="154"/>
      <c r="W506" s="154"/>
      <c r="X506" s="155"/>
      <c r="Y506" s="147"/>
      <c r="Z506" s="105"/>
      <c r="AA506" s="105"/>
      <c r="AB506" s="106"/>
      <c r="AC506" s="365"/>
      <c r="AD506" s="365"/>
      <c r="AE506" s="365"/>
      <c r="AF506" s="365"/>
      <c r="AI506" s="119" t="str">
        <f>"2A:field164:" &amp; IF(I506="■",1,IF(L506="■",2,IF(O506="■",3,0)))</f>
        <v>2A:field164:0</v>
      </c>
    </row>
    <row r="507" spans="1:35" s="119" customFormat="1" ht="18.75" customHeight="1" x14ac:dyDescent="0.15">
      <c r="A507" s="255"/>
      <c r="B507" s="256"/>
      <c r="C507" s="109"/>
      <c r="D507" s="110"/>
      <c r="E507" s="111"/>
      <c r="F507" s="112"/>
      <c r="G507" s="111"/>
      <c r="H507" s="370" t="s">
        <v>136</v>
      </c>
      <c r="I507" s="194" t="s">
        <v>348</v>
      </c>
      <c r="J507" s="160" t="s">
        <v>285</v>
      </c>
      <c r="K507" s="160"/>
      <c r="L507" s="241"/>
      <c r="M507" s="241"/>
      <c r="N507" s="241"/>
      <c r="O507" s="241"/>
      <c r="P507" s="195" t="s">
        <v>348</v>
      </c>
      <c r="Q507" s="160" t="s">
        <v>286</v>
      </c>
      <c r="R507" s="241"/>
      <c r="S507" s="241"/>
      <c r="T507" s="241"/>
      <c r="U507" s="241"/>
      <c r="V507" s="241"/>
      <c r="W507" s="241"/>
      <c r="X507" s="242"/>
      <c r="Y507" s="147"/>
      <c r="Z507" s="105"/>
      <c r="AA507" s="105"/>
      <c r="AB507" s="106"/>
      <c r="AC507" s="365"/>
      <c r="AD507" s="365"/>
      <c r="AE507" s="365"/>
      <c r="AF507" s="365"/>
      <c r="AI507" s="119" t="str">
        <f>"2A:" &amp; IF(AND(I507="□",P507="□",I508="□"),"tokusin_jyusho_code:0:tokusin_yakuzai_code:0:shuudan_comu_code:0",IF(I507="■","tokusin_jyusho_code:2","tokusin_jyusho_code:1")
&amp;IF(P507="■",":tokusin_yakuzai_code:2",":tokusin_yakuzai_code:1")
&amp;IF(I508="■",":shuudan_comu_code:2",":shuudan_comu_code:1"))</f>
        <v>2A:tokusin_jyusho_code:0:tokusin_yakuzai_code:0:shuudan_comu_code:0</v>
      </c>
    </row>
    <row r="508" spans="1:35" s="119" customFormat="1" ht="18.75" customHeight="1" x14ac:dyDescent="0.15">
      <c r="A508" s="255"/>
      <c r="B508" s="256"/>
      <c r="C508" s="109"/>
      <c r="D508" s="110"/>
      <c r="E508" s="111"/>
      <c r="F508" s="112"/>
      <c r="G508" s="111"/>
      <c r="H508" s="371"/>
      <c r="I508" s="143" t="s">
        <v>348</v>
      </c>
      <c r="J508" s="115" t="s">
        <v>299</v>
      </c>
      <c r="K508" s="145"/>
      <c r="L508" s="145"/>
      <c r="M508" s="145"/>
      <c r="N508" s="145"/>
      <c r="O508" s="145"/>
      <c r="P508" s="145"/>
      <c r="Q508" s="144"/>
      <c r="R508" s="145"/>
      <c r="S508" s="145"/>
      <c r="T508" s="145"/>
      <c r="U508" s="145"/>
      <c r="V508" s="145"/>
      <c r="W508" s="145"/>
      <c r="X508" s="146"/>
      <c r="Y508" s="147"/>
      <c r="Z508" s="105"/>
      <c r="AA508" s="105"/>
      <c r="AB508" s="106"/>
      <c r="AC508" s="365"/>
      <c r="AD508" s="365"/>
      <c r="AE508" s="365"/>
      <c r="AF508" s="365"/>
    </row>
    <row r="509" spans="1:35" s="119" customFormat="1" ht="18.75" customHeight="1" x14ac:dyDescent="0.15">
      <c r="A509" s="255"/>
      <c r="B509" s="256"/>
      <c r="C509" s="109"/>
      <c r="D509" s="110"/>
      <c r="E509" s="111"/>
      <c r="F509" s="112"/>
      <c r="G509" s="111"/>
      <c r="H509" s="370" t="s">
        <v>102</v>
      </c>
      <c r="I509" s="194" t="s">
        <v>348</v>
      </c>
      <c r="J509" s="160" t="s">
        <v>300</v>
      </c>
      <c r="K509" s="168"/>
      <c r="L509" s="205"/>
      <c r="M509" s="195" t="s">
        <v>348</v>
      </c>
      <c r="N509" s="160" t="s">
        <v>301</v>
      </c>
      <c r="O509" s="241"/>
      <c r="P509" s="241"/>
      <c r="Q509" s="195" t="s">
        <v>348</v>
      </c>
      <c r="R509" s="160" t="s">
        <v>302</v>
      </c>
      <c r="S509" s="241"/>
      <c r="T509" s="241"/>
      <c r="U509" s="241"/>
      <c r="V509" s="241"/>
      <c r="W509" s="241"/>
      <c r="X509" s="242"/>
      <c r="Y509" s="147"/>
      <c r="Z509" s="105"/>
      <c r="AA509" s="105"/>
      <c r="AB509" s="106"/>
      <c r="AC509" s="365"/>
      <c r="AD509" s="365"/>
      <c r="AE509" s="365"/>
      <c r="AF509" s="365"/>
      <c r="AI509" s="119" t="str">
        <f>"2A:"&amp;IF(AND(I509="□",M509="□",Q509="□",I510="□",Q510="□"),"koriha_rryoho1_code:0:koriha_sryoho_code:0:koriha_gengo_code:0:riha_seisin_code:0:koriha_other_code:0",IF(I509="■","koriha_rryoho1_code:2","koriha_rryoho1_code:1")
&amp;IF(M509="■",":koriha_sryoho_code:2",":koriha_sryoho_code:1")
&amp;IF(Q509="■",":koriha_gengo_code:2",":koriha_gengo_code:1")
&amp;IF(I510="■",":riha_seisin_code:2",":riha_seisin_code:1")
&amp;IF(Q510="■",":koriha_other_code:2",":koriha_other_code:1"))</f>
        <v>2A:koriha_rryoho1_code:0:koriha_sryoho_code:0:koriha_gengo_code:0:riha_seisin_code:0:koriha_other_code:0</v>
      </c>
    </row>
    <row r="510" spans="1:35" s="119" customFormat="1" ht="18.75" customHeight="1" x14ac:dyDescent="0.15">
      <c r="A510" s="255"/>
      <c r="B510" s="256"/>
      <c r="C510" s="109"/>
      <c r="D510" s="110"/>
      <c r="E510" s="111"/>
      <c r="F510" s="112"/>
      <c r="G510" s="111"/>
      <c r="H510" s="371"/>
      <c r="I510" s="143" t="s">
        <v>348</v>
      </c>
      <c r="J510" s="115" t="s">
        <v>303</v>
      </c>
      <c r="K510" s="145"/>
      <c r="L510" s="145"/>
      <c r="M510" s="145"/>
      <c r="N510" s="145"/>
      <c r="O510" s="145"/>
      <c r="P510" s="145"/>
      <c r="Q510" s="191" t="s">
        <v>348</v>
      </c>
      <c r="R510" s="115" t="s">
        <v>304</v>
      </c>
      <c r="S510" s="144"/>
      <c r="T510" s="145"/>
      <c r="U510" s="145"/>
      <c r="V510" s="145"/>
      <c r="W510" s="145"/>
      <c r="X510" s="146"/>
      <c r="Y510" s="147"/>
      <c r="Z510" s="105"/>
      <c r="AA510" s="105"/>
      <c r="AB510" s="106"/>
      <c r="AC510" s="365"/>
      <c r="AD510" s="365"/>
      <c r="AE510" s="365"/>
      <c r="AF510" s="365"/>
    </row>
    <row r="511" spans="1:35" s="119" customFormat="1" ht="18.75" customHeight="1" x14ac:dyDescent="0.15">
      <c r="A511" s="255"/>
      <c r="B511" s="256"/>
      <c r="C511" s="109"/>
      <c r="D511" s="110"/>
      <c r="E511" s="111"/>
      <c r="F511" s="112"/>
      <c r="G511" s="111"/>
      <c r="H511" s="240" t="s">
        <v>385</v>
      </c>
      <c r="I511" s="148" t="s">
        <v>348</v>
      </c>
      <c r="J511" s="149" t="s">
        <v>216</v>
      </c>
      <c r="K511" s="149"/>
      <c r="L511" s="152" t="s">
        <v>348</v>
      </c>
      <c r="M511" s="149" t="s">
        <v>217</v>
      </c>
      <c r="N511" s="149"/>
      <c r="O511" s="152" t="s">
        <v>348</v>
      </c>
      <c r="P511" s="149" t="s">
        <v>218</v>
      </c>
      <c r="Q511" s="154"/>
      <c r="R511" s="154"/>
      <c r="S511" s="154"/>
      <c r="T511" s="154"/>
      <c r="U511" s="241"/>
      <c r="V511" s="241"/>
      <c r="W511" s="241"/>
      <c r="X511" s="242"/>
      <c r="Y511" s="147"/>
      <c r="Z511" s="105"/>
      <c r="AA511" s="105"/>
      <c r="AB511" s="106"/>
      <c r="AC511" s="365"/>
      <c r="AD511" s="365"/>
      <c r="AE511" s="365"/>
      <c r="AF511" s="365"/>
      <c r="AI511" s="119" t="str">
        <f>"2A:field225:" &amp; IF(I511="■",1,IF(L511="■",2,IF(O511="■",3,0)))</f>
        <v>2A:field225:0</v>
      </c>
    </row>
    <row r="512" spans="1:35" s="119" customFormat="1" ht="18.75" customHeight="1" x14ac:dyDescent="0.15">
      <c r="A512" s="255"/>
      <c r="B512" s="256"/>
      <c r="C512" s="109"/>
      <c r="D512" s="110"/>
      <c r="E512" s="111"/>
      <c r="F512" s="112"/>
      <c r="G512" s="111"/>
      <c r="H512" s="157" t="s">
        <v>111</v>
      </c>
      <c r="I512" s="148" t="s">
        <v>348</v>
      </c>
      <c r="J512" s="149" t="s">
        <v>216</v>
      </c>
      <c r="K512" s="149"/>
      <c r="L512" s="152" t="s">
        <v>348</v>
      </c>
      <c r="M512" s="149" t="s">
        <v>224</v>
      </c>
      <c r="N512" s="149"/>
      <c r="O512" s="152" t="s">
        <v>348</v>
      </c>
      <c r="P512" s="149" t="s">
        <v>225</v>
      </c>
      <c r="Q512" s="196"/>
      <c r="R512" s="152" t="s">
        <v>348</v>
      </c>
      <c r="S512" s="149" t="s">
        <v>248</v>
      </c>
      <c r="T512" s="196"/>
      <c r="U512" s="196"/>
      <c r="V512" s="196"/>
      <c r="W512" s="196"/>
      <c r="X512" s="197"/>
      <c r="Y512" s="147"/>
      <c r="Z512" s="105"/>
      <c r="AA512" s="105"/>
      <c r="AB512" s="106"/>
      <c r="AC512" s="365"/>
      <c r="AD512" s="365"/>
      <c r="AE512" s="365"/>
      <c r="AF512" s="365"/>
      <c r="AI512" s="119" t="str">
        <f>"2A:serteikyo_kyoka_code:" &amp; IF(I512="■",1,IF(L512="■",6,IF(O512="■",5,IF(R512="■",7,0))))</f>
        <v>2A:serteikyo_kyoka_code:0</v>
      </c>
    </row>
    <row r="513" spans="1:36" s="119" customFormat="1" ht="18.75" customHeight="1" x14ac:dyDescent="0.15">
      <c r="A513" s="255"/>
      <c r="B513" s="256"/>
      <c r="C513" s="109"/>
      <c r="D513" s="110"/>
      <c r="E513" s="111"/>
      <c r="F513" s="112"/>
      <c r="G513" s="111"/>
      <c r="H513" s="329" t="s">
        <v>409</v>
      </c>
      <c r="I513" s="358" t="s">
        <v>348</v>
      </c>
      <c r="J513" s="359" t="s">
        <v>216</v>
      </c>
      <c r="K513" s="359"/>
      <c r="L513" s="360" t="s">
        <v>348</v>
      </c>
      <c r="M513" s="359" t="s">
        <v>232</v>
      </c>
      <c r="N513" s="359"/>
      <c r="O513" s="160"/>
      <c r="P513" s="160"/>
      <c r="Q513" s="160"/>
      <c r="R513" s="160"/>
      <c r="S513" s="160"/>
      <c r="T513" s="160"/>
      <c r="U513" s="160"/>
      <c r="V513" s="160"/>
      <c r="W513" s="160"/>
      <c r="X513" s="163"/>
      <c r="Y513" s="147"/>
      <c r="Z513" s="105"/>
      <c r="AA513" s="105"/>
      <c r="AB513" s="106"/>
      <c r="AC513" s="365"/>
      <c r="AD513" s="365"/>
      <c r="AE513" s="365"/>
      <c r="AF513" s="365"/>
      <c r="AI513" s="119" t="str">
        <f>"2A:field221:" &amp; IF(I513="■",1,IF(L513="■",2,0))</f>
        <v>2A:field221:0</v>
      </c>
    </row>
    <row r="514" spans="1:36" s="119" customFormat="1" ht="18.75" customHeight="1" x14ac:dyDescent="0.15">
      <c r="A514" s="255"/>
      <c r="B514" s="256"/>
      <c r="C514" s="109"/>
      <c r="D514" s="110"/>
      <c r="E514" s="111"/>
      <c r="F514" s="112"/>
      <c r="G514" s="111"/>
      <c r="H514" s="328"/>
      <c r="I514" s="358"/>
      <c r="J514" s="359"/>
      <c r="K514" s="359"/>
      <c r="L514" s="360"/>
      <c r="M514" s="359"/>
      <c r="N514" s="359"/>
      <c r="O514" s="115"/>
      <c r="P514" s="115"/>
      <c r="Q514" s="115"/>
      <c r="R514" s="115"/>
      <c r="S514" s="115"/>
      <c r="T514" s="115"/>
      <c r="U514" s="115"/>
      <c r="V514" s="115"/>
      <c r="W514" s="115"/>
      <c r="X514" s="161"/>
      <c r="Y514" s="147"/>
      <c r="Z514" s="105"/>
      <c r="AA514" s="105"/>
      <c r="AB514" s="106"/>
      <c r="AC514" s="365"/>
      <c r="AD514" s="365"/>
      <c r="AE514" s="365"/>
      <c r="AF514" s="365"/>
    </row>
    <row r="515" spans="1:36" s="119" customFormat="1" ht="18.75" customHeight="1" x14ac:dyDescent="0.15">
      <c r="A515" s="170"/>
      <c r="B515" s="171"/>
      <c r="C515" s="172"/>
      <c r="D515" s="173"/>
      <c r="E515" s="174"/>
      <c r="F515" s="175"/>
      <c r="G515" s="176"/>
      <c r="H515" s="95" t="s">
        <v>405</v>
      </c>
      <c r="I515" s="177" t="s">
        <v>348</v>
      </c>
      <c r="J515" s="96" t="s">
        <v>216</v>
      </c>
      <c r="K515" s="96"/>
      <c r="L515" s="178" t="s">
        <v>348</v>
      </c>
      <c r="M515" s="96" t="s">
        <v>373</v>
      </c>
      <c r="N515" s="97"/>
      <c r="O515" s="178" t="s">
        <v>348</v>
      </c>
      <c r="P515" s="99" t="s">
        <v>374</v>
      </c>
      <c r="Q515" s="98"/>
      <c r="R515" s="178" t="s">
        <v>348</v>
      </c>
      <c r="S515" s="96" t="s">
        <v>375</v>
      </c>
      <c r="T515" s="98"/>
      <c r="U515" s="178" t="s">
        <v>348</v>
      </c>
      <c r="V515" s="96" t="s">
        <v>376</v>
      </c>
      <c r="W515" s="100"/>
      <c r="X515" s="101"/>
      <c r="Y515" s="179"/>
      <c r="Z515" s="179"/>
      <c r="AA515" s="179"/>
      <c r="AB515" s="180"/>
      <c r="AC515" s="366"/>
      <c r="AD515" s="366"/>
      <c r="AE515" s="366"/>
      <c r="AF515" s="366"/>
      <c r="AI515" s="119" t="str">
        <f>"2A:shoguukaizen_code:"&amp;IF(I515="■",1,IF(L515="■",7,IF(O515="■",8,IF(R515="■",9,IF(U515="■","A",0)))))</f>
        <v>2A:shoguukaizen_code:0</v>
      </c>
    </row>
    <row r="516" spans="1:36" s="119" customFormat="1" ht="18.75" customHeight="1" x14ac:dyDescent="0.15">
      <c r="A516" s="253"/>
      <c r="B516" s="254"/>
      <c r="C516" s="132"/>
      <c r="D516" s="133"/>
      <c r="E516" s="126"/>
      <c r="F516" s="134"/>
      <c r="G516" s="126"/>
      <c r="H516" s="340" t="s">
        <v>96</v>
      </c>
      <c r="I516" s="140" t="s">
        <v>348</v>
      </c>
      <c r="J516" s="124" t="s">
        <v>265</v>
      </c>
      <c r="K516" s="137"/>
      <c r="L516" s="231"/>
      <c r="M516" s="136" t="s">
        <v>348</v>
      </c>
      <c r="N516" s="124" t="s">
        <v>293</v>
      </c>
      <c r="O516" s="232"/>
      <c r="P516" s="232"/>
      <c r="Q516" s="136" t="s">
        <v>348</v>
      </c>
      <c r="R516" s="124" t="s">
        <v>294</v>
      </c>
      <c r="S516" s="232"/>
      <c r="T516" s="232"/>
      <c r="U516" s="136" t="s">
        <v>348</v>
      </c>
      <c r="V516" s="124" t="s">
        <v>295</v>
      </c>
      <c r="W516" s="232"/>
      <c r="X516" s="213"/>
      <c r="Y516" s="140" t="s">
        <v>348</v>
      </c>
      <c r="Z516" s="124" t="s">
        <v>215</v>
      </c>
      <c r="AA516" s="124"/>
      <c r="AB516" s="139"/>
      <c r="AC516" s="363"/>
      <c r="AD516" s="363"/>
      <c r="AE516" s="363"/>
      <c r="AF516" s="363"/>
      <c r="AG516" s="119" t="str">
        <f>"ser_code = '" &amp; IF(A528="■","2A","") &amp; "'"</f>
        <v>ser_code = ''</v>
      </c>
      <c r="AI516" s="119" t="str">
        <f>"2A:yakan_kinmu_code:" &amp; IF(I516="■",1,IF(M516="■",2,IF(Q516="■",3,IF(U516="■",7,IF(I517="■",5,IF(M517="■",6,0))))))</f>
        <v>2A:yakan_kinmu_code:0</v>
      </c>
      <c r="AJ516" s="119" t="str">
        <f>"2A:field203:" &amp; IF(Y516="■",1,IF(Y517="■",2,0))</f>
        <v>2A:field203:0</v>
      </c>
    </row>
    <row r="517" spans="1:36" s="119" customFormat="1" ht="18.75" customHeight="1" x14ac:dyDescent="0.15">
      <c r="A517" s="255"/>
      <c r="B517" s="256"/>
      <c r="C517" s="109"/>
      <c r="D517" s="110"/>
      <c r="E517" s="111"/>
      <c r="F517" s="112"/>
      <c r="G517" s="111"/>
      <c r="H517" s="371"/>
      <c r="I517" s="143" t="s">
        <v>348</v>
      </c>
      <c r="J517" s="115" t="s">
        <v>296</v>
      </c>
      <c r="K517" s="166"/>
      <c r="L517" s="116"/>
      <c r="M517" s="191" t="s">
        <v>348</v>
      </c>
      <c r="N517" s="115" t="s">
        <v>266</v>
      </c>
      <c r="O517" s="144"/>
      <c r="P517" s="144"/>
      <c r="Q517" s="144"/>
      <c r="R517" s="144"/>
      <c r="S517" s="144"/>
      <c r="T517" s="144"/>
      <c r="U517" s="144"/>
      <c r="V517" s="144"/>
      <c r="W517" s="144"/>
      <c r="X517" s="226"/>
      <c r="Y517" s="123" t="s">
        <v>348</v>
      </c>
      <c r="Z517" s="104" t="s">
        <v>221</v>
      </c>
      <c r="AA517" s="105"/>
      <c r="AB517" s="106"/>
      <c r="AC517" s="364"/>
      <c r="AD517" s="364"/>
      <c r="AE517" s="364"/>
      <c r="AF517" s="364"/>
      <c r="AG517" s="119" t="str">
        <f>"2A:sisetukbn_code:"&amp;IF(D528="■","5",0)</f>
        <v>2A:sisetukbn_code:0</v>
      </c>
    </row>
    <row r="518" spans="1:36" s="119" customFormat="1" ht="18.75" customHeight="1" x14ac:dyDescent="0.15">
      <c r="A518" s="255"/>
      <c r="B518" s="256"/>
      <c r="C518" s="109"/>
      <c r="D518" s="110"/>
      <c r="E518" s="111"/>
      <c r="F518" s="112"/>
      <c r="G518" s="111"/>
      <c r="H518" s="370" t="s">
        <v>92</v>
      </c>
      <c r="I518" s="194" t="s">
        <v>348</v>
      </c>
      <c r="J518" s="160" t="s">
        <v>216</v>
      </c>
      <c r="K518" s="160"/>
      <c r="L518" s="205"/>
      <c r="M518" s="195" t="s">
        <v>348</v>
      </c>
      <c r="N518" s="160" t="s">
        <v>254</v>
      </c>
      <c r="O518" s="160"/>
      <c r="P518" s="205"/>
      <c r="Q518" s="195" t="s">
        <v>348</v>
      </c>
      <c r="R518" s="198" t="s">
        <v>337</v>
      </c>
      <c r="S518" s="198"/>
      <c r="T518" s="198"/>
      <c r="U518" s="241"/>
      <c r="V518" s="205"/>
      <c r="W518" s="198"/>
      <c r="X518" s="242"/>
      <c r="Y518" s="147"/>
      <c r="Z518" s="105"/>
      <c r="AA518" s="105"/>
      <c r="AB518" s="106"/>
      <c r="AC518" s="365"/>
      <c r="AD518" s="365"/>
      <c r="AE518" s="365"/>
      <c r="AF518" s="365"/>
      <c r="AI518" s="119" t="str">
        <f>"2A:"&amp;IF(AND(I518="□",M518="□",Q518="□",I519="□",M519="□"),"ketu_doctor_code:0",IF(I518="■","ketu_doctor_code:1:field197:1:ketu_kangos_code:1:ketu_kshoku_code:1",IF(M518="■","ketu_doctor_code:2","ketu_doctor_code:1")
&amp;IF(Q518="■",":field197:2",":field197:1")
&amp;IF(I519="■",":ketu_kangos_code:2",":ketu_kangos_code:1")
&amp;IF(M519="■",":ketu_kshoku_code:2",":ketu_kshoku_code:1")))</f>
        <v>2A:ketu_doctor_code:0</v>
      </c>
    </row>
    <row r="519" spans="1:36" s="119" customFormat="1" ht="18.75" customHeight="1" x14ac:dyDescent="0.15">
      <c r="A519" s="255"/>
      <c r="B519" s="256"/>
      <c r="C519" s="109"/>
      <c r="D519" s="110"/>
      <c r="E519" s="111"/>
      <c r="F519" s="112"/>
      <c r="G519" s="111"/>
      <c r="H519" s="371"/>
      <c r="I519" s="143" t="s">
        <v>348</v>
      </c>
      <c r="J519" s="144" t="s">
        <v>338</v>
      </c>
      <c r="K519" s="144"/>
      <c r="L519" s="144"/>
      <c r="M519" s="191" t="s">
        <v>348</v>
      </c>
      <c r="N519" s="144" t="s">
        <v>339</v>
      </c>
      <c r="O519" s="116"/>
      <c r="P519" s="144"/>
      <c r="Q519" s="144"/>
      <c r="R519" s="116"/>
      <c r="S519" s="144"/>
      <c r="T519" s="144"/>
      <c r="U519" s="145"/>
      <c r="V519" s="116"/>
      <c r="W519" s="144"/>
      <c r="X519" s="146"/>
      <c r="Y519" s="147"/>
      <c r="Z519" s="105"/>
      <c r="AA519" s="105"/>
      <c r="AB519" s="106"/>
      <c r="AC519" s="365"/>
      <c r="AD519" s="365"/>
      <c r="AE519" s="365"/>
      <c r="AF519" s="365"/>
    </row>
    <row r="520" spans="1:36" s="119" customFormat="1" ht="18.75" customHeight="1" x14ac:dyDescent="0.15">
      <c r="A520" s="255"/>
      <c r="B520" s="256"/>
      <c r="C520" s="109"/>
      <c r="D520" s="110"/>
      <c r="E520" s="111"/>
      <c r="F520" s="112"/>
      <c r="G520" s="111"/>
      <c r="H520" s="230" t="s">
        <v>97</v>
      </c>
      <c r="I520" s="148" t="s">
        <v>348</v>
      </c>
      <c r="J520" s="149" t="s">
        <v>230</v>
      </c>
      <c r="K520" s="150"/>
      <c r="L520" s="151"/>
      <c r="M520" s="152" t="s">
        <v>348</v>
      </c>
      <c r="N520" s="149" t="s">
        <v>231</v>
      </c>
      <c r="O520" s="154"/>
      <c r="P520" s="154"/>
      <c r="Q520" s="154"/>
      <c r="R520" s="154"/>
      <c r="S520" s="154"/>
      <c r="T520" s="154"/>
      <c r="U520" s="154"/>
      <c r="V520" s="154"/>
      <c r="W520" s="154"/>
      <c r="X520" s="155"/>
      <c r="Y520" s="147"/>
      <c r="Z520" s="105"/>
      <c r="AA520" s="105"/>
      <c r="AB520" s="106"/>
      <c r="AC520" s="365"/>
      <c r="AD520" s="365"/>
      <c r="AE520" s="365"/>
      <c r="AF520" s="365"/>
      <c r="AI520" s="119" t="str">
        <f>"2A:unitcare_code:" &amp; IF(I520="■",1,IF(M520="■",2,0))</f>
        <v>2A:unitcare_code:0</v>
      </c>
    </row>
    <row r="521" spans="1:36" s="119" customFormat="1" ht="18.75" customHeight="1" x14ac:dyDescent="0.15">
      <c r="A521" s="107"/>
      <c r="B521" s="108"/>
      <c r="C521" s="238"/>
      <c r="D521" s="239"/>
      <c r="E521" s="111"/>
      <c r="F521" s="112"/>
      <c r="G521" s="113"/>
      <c r="H521" s="230" t="s">
        <v>103</v>
      </c>
      <c r="I521" s="148" t="s">
        <v>348</v>
      </c>
      <c r="J521" s="149" t="s">
        <v>360</v>
      </c>
      <c r="K521" s="150"/>
      <c r="L521" s="151"/>
      <c r="M521" s="152" t="s">
        <v>348</v>
      </c>
      <c r="N521" s="149" t="s">
        <v>361</v>
      </c>
      <c r="O521" s="150"/>
      <c r="P521" s="150"/>
      <c r="Q521" s="150"/>
      <c r="R521" s="150"/>
      <c r="S521" s="150"/>
      <c r="T521" s="150"/>
      <c r="U521" s="150"/>
      <c r="V521" s="150"/>
      <c r="W521" s="150"/>
      <c r="X521" s="159"/>
      <c r="Y521" s="147"/>
      <c r="Z521" s="105"/>
      <c r="AA521" s="105"/>
      <c r="AB521" s="106"/>
      <c r="AC521" s="365"/>
      <c r="AD521" s="365"/>
      <c r="AE521" s="365"/>
      <c r="AF521" s="365"/>
      <c r="AI521" s="119" t="str">
        <f>"2A:sintaikousoku_code:" &amp; IF(I521="■",1,IF(M521="■",2,0))</f>
        <v>2A:sintaikousoku_code:0</v>
      </c>
    </row>
    <row r="522" spans="1:36" s="119" customFormat="1" ht="19.5" customHeight="1" x14ac:dyDescent="0.15">
      <c r="A522" s="107"/>
      <c r="B522" s="108"/>
      <c r="C522" s="109"/>
      <c r="D522" s="110"/>
      <c r="E522" s="111"/>
      <c r="F522" s="112"/>
      <c r="G522" s="113"/>
      <c r="H522" s="114" t="s">
        <v>369</v>
      </c>
      <c r="I522" s="148" t="s">
        <v>348</v>
      </c>
      <c r="J522" s="149" t="s">
        <v>360</v>
      </c>
      <c r="K522" s="150"/>
      <c r="L522" s="151"/>
      <c r="M522" s="152" t="s">
        <v>348</v>
      </c>
      <c r="N522" s="149" t="s">
        <v>370</v>
      </c>
      <c r="O522" s="153"/>
      <c r="P522" s="149"/>
      <c r="Q522" s="154"/>
      <c r="R522" s="154"/>
      <c r="S522" s="154"/>
      <c r="T522" s="154"/>
      <c r="U522" s="154"/>
      <c r="V522" s="154"/>
      <c r="W522" s="154"/>
      <c r="X522" s="155"/>
      <c r="Y522" s="105"/>
      <c r="Z522" s="105"/>
      <c r="AA522" s="105"/>
      <c r="AB522" s="106"/>
      <c r="AC522" s="365"/>
      <c r="AD522" s="365"/>
      <c r="AE522" s="365"/>
      <c r="AF522" s="365"/>
      <c r="AI522" s="119" t="str">
        <f>"2A:field223:" &amp; IF(I522="■",1,IF(M522="■",2,0))</f>
        <v>2A:field223:0</v>
      </c>
    </row>
    <row r="523" spans="1:36" s="119" customFormat="1" ht="19.5" customHeight="1" x14ac:dyDescent="0.15">
      <c r="A523" s="107"/>
      <c r="B523" s="108"/>
      <c r="C523" s="109"/>
      <c r="D523" s="110"/>
      <c r="E523" s="111"/>
      <c r="F523" s="112"/>
      <c r="G523" s="113"/>
      <c r="H523" s="114" t="s">
        <v>390</v>
      </c>
      <c r="I523" s="148" t="s">
        <v>348</v>
      </c>
      <c r="J523" s="149" t="s">
        <v>360</v>
      </c>
      <c r="K523" s="150"/>
      <c r="L523" s="151"/>
      <c r="M523" s="152" t="s">
        <v>348</v>
      </c>
      <c r="N523" s="149" t="s">
        <v>370</v>
      </c>
      <c r="O523" s="153"/>
      <c r="P523" s="149"/>
      <c r="Q523" s="154"/>
      <c r="R523" s="154"/>
      <c r="S523" s="154"/>
      <c r="T523" s="154"/>
      <c r="U523" s="154"/>
      <c r="V523" s="154"/>
      <c r="W523" s="154"/>
      <c r="X523" s="155"/>
      <c r="Y523" s="105"/>
      <c r="Z523" s="105"/>
      <c r="AA523" s="105"/>
      <c r="AB523" s="106"/>
      <c r="AC523" s="365"/>
      <c r="AD523" s="365"/>
      <c r="AE523" s="365"/>
      <c r="AF523" s="365"/>
      <c r="AI523" s="119" t="str">
        <f>"2A:field232:" &amp; IF(I523="■",1,IF(M523="■",2,0))</f>
        <v>2A:field232:0</v>
      </c>
    </row>
    <row r="524" spans="1:36" s="119" customFormat="1" ht="18.75" customHeight="1" x14ac:dyDescent="0.15">
      <c r="A524" s="255"/>
      <c r="B524" s="256"/>
      <c r="C524" s="109"/>
      <c r="D524" s="110"/>
      <c r="E524" s="111"/>
      <c r="F524" s="112"/>
      <c r="G524" s="111"/>
      <c r="H524" s="230" t="s">
        <v>149</v>
      </c>
      <c r="I524" s="148" t="s">
        <v>348</v>
      </c>
      <c r="J524" s="149" t="s">
        <v>265</v>
      </c>
      <c r="K524" s="150"/>
      <c r="L524" s="151"/>
      <c r="M524" s="152" t="s">
        <v>348</v>
      </c>
      <c r="N524" s="149" t="s">
        <v>297</v>
      </c>
      <c r="O524" s="154"/>
      <c r="P524" s="154"/>
      <c r="Q524" s="154"/>
      <c r="R524" s="154"/>
      <c r="S524" s="154"/>
      <c r="T524" s="154"/>
      <c r="U524" s="154"/>
      <c r="V524" s="154"/>
      <c r="W524" s="154"/>
      <c r="X524" s="155"/>
      <c r="Y524" s="147"/>
      <c r="Z524" s="105"/>
      <c r="AA524" s="105"/>
      <c r="AB524" s="106"/>
      <c r="AC524" s="365"/>
      <c r="AD524" s="365"/>
      <c r="AE524" s="365"/>
      <c r="AF524" s="365"/>
      <c r="AI524" s="119" t="str">
        <f>"2A:field190:" &amp; IF(I524="■",1,IF(M524="■",2,0))</f>
        <v>2A:field190:0</v>
      </c>
    </row>
    <row r="525" spans="1:36" s="119" customFormat="1" ht="18.75" customHeight="1" x14ac:dyDescent="0.15">
      <c r="A525" s="255"/>
      <c r="B525" s="256"/>
      <c r="C525" s="109"/>
      <c r="D525" s="110"/>
      <c r="E525" s="111"/>
      <c r="F525" s="112"/>
      <c r="G525" s="111"/>
      <c r="H525" s="230" t="s">
        <v>150</v>
      </c>
      <c r="I525" s="148" t="s">
        <v>348</v>
      </c>
      <c r="J525" s="149" t="s">
        <v>265</v>
      </c>
      <c r="K525" s="150"/>
      <c r="L525" s="151"/>
      <c r="M525" s="152" t="s">
        <v>348</v>
      </c>
      <c r="N525" s="149" t="s">
        <v>297</v>
      </c>
      <c r="O525" s="154"/>
      <c r="P525" s="154"/>
      <c r="Q525" s="154"/>
      <c r="R525" s="154"/>
      <c r="S525" s="154"/>
      <c r="T525" s="154"/>
      <c r="U525" s="154"/>
      <c r="V525" s="154"/>
      <c r="W525" s="154"/>
      <c r="X525" s="155"/>
      <c r="Y525" s="147"/>
      <c r="Z525" s="105"/>
      <c r="AA525" s="105"/>
      <c r="AB525" s="106"/>
      <c r="AC525" s="365"/>
      <c r="AD525" s="365"/>
      <c r="AE525" s="365"/>
      <c r="AF525" s="365"/>
      <c r="AI525" s="119" t="str">
        <f>"2A:field191:" &amp; IF(I525="■",1,IF(M525="■",2,0))</f>
        <v>2A:field191:0</v>
      </c>
    </row>
    <row r="526" spans="1:36" s="119" customFormat="1" ht="18.75" customHeight="1" x14ac:dyDescent="0.15">
      <c r="A526" s="255"/>
      <c r="B526" s="256"/>
      <c r="C526" s="109"/>
      <c r="D526" s="110"/>
      <c r="E526" s="111"/>
      <c r="F526" s="112"/>
      <c r="G526" s="111"/>
      <c r="H526" s="230" t="s">
        <v>104</v>
      </c>
      <c r="I526" s="148" t="s">
        <v>348</v>
      </c>
      <c r="J526" s="149" t="s">
        <v>216</v>
      </c>
      <c r="K526" s="150"/>
      <c r="L526" s="152" t="s">
        <v>348</v>
      </c>
      <c r="M526" s="149" t="s">
        <v>232</v>
      </c>
      <c r="N526" s="154"/>
      <c r="O526" s="154"/>
      <c r="P526" s="154"/>
      <c r="Q526" s="154"/>
      <c r="R526" s="154"/>
      <c r="S526" s="154"/>
      <c r="T526" s="154"/>
      <c r="U526" s="154"/>
      <c r="V526" s="154"/>
      <c r="W526" s="154"/>
      <c r="X526" s="155"/>
      <c r="Y526" s="147"/>
      <c r="Z526" s="105"/>
      <c r="AA526" s="105"/>
      <c r="AB526" s="106"/>
      <c r="AC526" s="365"/>
      <c r="AD526" s="365"/>
      <c r="AE526" s="365"/>
      <c r="AF526" s="365"/>
      <c r="AI526" s="119" t="str">
        <f>"2A:jyakuninti_uke_code:" &amp; IF(I526="■",1,IF(L526="■",2,0))</f>
        <v>2A:jyakuninti_uke_code:0</v>
      </c>
    </row>
    <row r="527" spans="1:36" s="119" customFormat="1" ht="18.75" customHeight="1" x14ac:dyDescent="0.15">
      <c r="A527" s="255"/>
      <c r="B527" s="256"/>
      <c r="C527" s="109"/>
      <c r="D527" s="110"/>
      <c r="E527" s="111"/>
      <c r="F527" s="112"/>
      <c r="G527" s="111"/>
      <c r="H527" s="230" t="s">
        <v>94</v>
      </c>
      <c r="I527" s="148" t="s">
        <v>348</v>
      </c>
      <c r="J527" s="149" t="s">
        <v>230</v>
      </c>
      <c r="K527" s="150"/>
      <c r="L527" s="151"/>
      <c r="M527" s="152" t="s">
        <v>348</v>
      </c>
      <c r="N527" s="149" t="s">
        <v>231</v>
      </c>
      <c r="O527" s="154"/>
      <c r="P527" s="154"/>
      <c r="Q527" s="154"/>
      <c r="R527" s="154"/>
      <c r="S527" s="154"/>
      <c r="T527" s="154"/>
      <c r="U527" s="154"/>
      <c r="V527" s="154"/>
      <c r="W527" s="154"/>
      <c r="X527" s="155"/>
      <c r="Y527" s="147"/>
      <c r="Z527" s="105"/>
      <c r="AA527" s="105"/>
      <c r="AB527" s="106"/>
      <c r="AC527" s="365"/>
      <c r="AD527" s="365"/>
      <c r="AE527" s="365"/>
      <c r="AF527" s="365"/>
      <c r="AI527" s="119" t="str">
        <f>"2A:sougei_code:" &amp; IF(I527="■",1,IF(M527="■",2,0))</f>
        <v>2A:sougei_code:0</v>
      </c>
    </row>
    <row r="528" spans="1:36" s="119" customFormat="1" ht="19.5" customHeight="1" x14ac:dyDescent="0.15">
      <c r="A528" s="128" t="s">
        <v>348</v>
      </c>
      <c r="B528" s="256" t="s">
        <v>191</v>
      </c>
      <c r="C528" s="109" t="s">
        <v>172</v>
      </c>
      <c r="D528" s="123" t="s">
        <v>348</v>
      </c>
      <c r="E528" s="111" t="s">
        <v>346</v>
      </c>
      <c r="F528" s="112"/>
      <c r="G528" s="113"/>
      <c r="H528" s="114" t="s">
        <v>372</v>
      </c>
      <c r="I528" s="148" t="s">
        <v>348</v>
      </c>
      <c r="J528" s="149" t="s">
        <v>216</v>
      </c>
      <c r="K528" s="149"/>
      <c r="L528" s="152" t="s">
        <v>348</v>
      </c>
      <c r="M528" s="149" t="s">
        <v>232</v>
      </c>
      <c r="N528" s="149"/>
      <c r="O528" s="154"/>
      <c r="P528" s="149"/>
      <c r="Q528" s="154"/>
      <c r="R528" s="154"/>
      <c r="S528" s="154"/>
      <c r="T528" s="154"/>
      <c r="U528" s="154"/>
      <c r="V528" s="154"/>
      <c r="W528" s="154"/>
      <c r="X528" s="155"/>
      <c r="Y528" s="105"/>
      <c r="Z528" s="105"/>
      <c r="AA528" s="105"/>
      <c r="AB528" s="106"/>
      <c r="AC528" s="365"/>
      <c r="AD528" s="365"/>
      <c r="AE528" s="365"/>
      <c r="AF528" s="365"/>
      <c r="AI528" s="119" t="str">
        <f>"2A:field224:" &amp; IF(I528="■",1,IF(L528="■",2,0))</f>
        <v>2A:field224:0</v>
      </c>
    </row>
    <row r="529" spans="1:36" s="119" customFormat="1" ht="18.75" customHeight="1" x14ac:dyDescent="0.15">
      <c r="A529" s="255"/>
      <c r="B529" s="256"/>
      <c r="C529" s="109"/>
      <c r="D529" s="110"/>
      <c r="E529" s="111"/>
      <c r="F529" s="112"/>
      <c r="G529" s="111"/>
      <c r="H529" s="230" t="s">
        <v>106</v>
      </c>
      <c r="I529" s="148" t="s">
        <v>348</v>
      </c>
      <c r="J529" s="149" t="s">
        <v>216</v>
      </c>
      <c r="K529" s="150"/>
      <c r="L529" s="152" t="s">
        <v>348</v>
      </c>
      <c r="M529" s="149" t="s">
        <v>232</v>
      </c>
      <c r="N529" s="154"/>
      <c r="O529" s="154"/>
      <c r="P529" s="154"/>
      <c r="Q529" s="154"/>
      <c r="R529" s="154"/>
      <c r="S529" s="154"/>
      <c r="T529" s="154"/>
      <c r="U529" s="154"/>
      <c r="V529" s="154"/>
      <c r="W529" s="154"/>
      <c r="X529" s="155"/>
      <c r="Y529" s="147"/>
      <c r="Z529" s="105"/>
      <c r="AA529" s="105"/>
      <c r="AB529" s="106"/>
      <c r="AC529" s="365"/>
      <c r="AD529" s="365"/>
      <c r="AE529" s="365"/>
      <c r="AF529" s="365"/>
      <c r="AI529" s="119" t="str">
        <f>"2A:ryouyoushoku_code:" &amp; IF(I529="■",1,IF(L529="■",2,0))</f>
        <v>2A:ryouyoushoku_code:0</v>
      </c>
    </row>
    <row r="530" spans="1:36" s="119" customFormat="1" ht="18.75" customHeight="1" x14ac:dyDescent="0.15">
      <c r="A530" s="255"/>
      <c r="B530" s="256"/>
      <c r="C530" s="109"/>
      <c r="D530" s="110"/>
      <c r="E530" s="111"/>
      <c r="F530" s="112"/>
      <c r="G530" s="111"/>
      <c r="H530" s="230" t="s">
        <v>109</v>
      </c>
      <c r="I530" s="148" t="s">
        <v>348</v>
      </c>
      <c r="J530" s="149" t="s">
        <v>216</v>
      </c>
      <c r="K530" s="149"/>
      <c r="L530" s="152" t="s">
        <v>348</v>
      </c>
      <c r="M530" s="149" t="s">
        <v>217</v>
      </c>
      <c r="N530" s="149"/>
      <c r="O530" s="152" t="s">
        <v>348</v>
      </c>
      <c r="P530" s="149" t="s">
        <v>218</v>
      </c>
      <c r="Q530" s="154"/>
      <c r="R530" s="154"/>
      <c r="S530" s="154"/>
      <c r="T530" s="154"/>
      <c r="U530" s="154"/>
      <c r="V530" s="154"/>
      <c r="W530" s="154"/>
      <c r="X530" s="155"/>
      <c r="Y530" s="147"/>
      <c r="Z530" s="105"/>
      <c r="AA530" s="105"/>
      <c r="AB530" s="106"/>
      <c r="AC530" s="365"/>
      <c r="AD530" s="365"/>
      <c r="AE530" s="365"/>
      <c r="AF530" s="365"/>
      <c r="AI530" s="119" t="str">
        <f>"2A:ninti_senmoncare_code:" &amp; IF(I530="■",1,IF(O530="■",3,IF(L530="■",2,0)))</f>
        <v>2A:ninti_senmoncare_code:0</v>
      </c>
    </row>
    <row r="531" spans="1:36" s="119" customFormat="1" ht="18.75" customHeight="1" x14ac:dyDescent="0.15">
      <c r="A531" s="255"/>
      <c r="B531" s="256"/>
      <c r="C531" s="109"/>
      <c r="D531" s="110"/>
      <c r="E531" s="111"/>
      <c r="F531" s="112"/>
      <c r="G531" s="111"/>
      <c r="H531" s="230" t="s">
        <v>129</v>
      </c>
      <c r="I531" s="148" t="s">
        <v>348</v>
      </c>
      <c r="J531" s="149" t="s">
        <v>216</v>
      </c>
      <c r="K531" s="149"/>
      <c r="L531" s="152" t="s">
        <v>348</v>
      </c>
      <c r="M531" s="149" t="s">
        <v>217</v>
      </c>
      <c r="N531" s="149"/>
      <c r="O531" s="152" t="s">
        <v>348</v>
      </c>
      <c r="P531" s="149" t="s">
        <v>218</v>
      </c>
      <c r="Q531" s="154"/>
      <c r="R531" s="154"/>
      <c r="S531" s="154"/>
      <c r="T531" s="154"/>
      <c r="U531" s="154"/>
      <c r="V531" s="154"/>
      <c r="W531" s="154"/>
      <c r="X531" s="155"/>
      <c r="Y531" s="147"/>
      <c r="Z531" s="105"/>
      <c r="AA531" s="105"/>
      <c r="AB531" s="106"/>
      <c r="AC531" s="365"/>
      <c r="AD531" s="365"/>
      <c r="AE531" s="365"/>
      <c r="AF531" s="365"/>
      <c r="AI531" s="119" t="str">
        <f>"2A:field164:" &amp; IF(I531="■",1,IF(L531="■",2,IF(O531="■",3,0)))</f>
        <v>2A:field164:0</v>
      </c>
    </row>
    <row r="532" spans="1:36" s="119" customFormat="1" ht="18.75" customHeight="1" x14ac:dyDescent="0.15">
      <c r="A532" s="255"/>
      <c r="B532" s="256"/>
      <c r="C532" s="109"/>
      <c r="D532" s="110"/>
      <c r="E532" s="111"/>
      <c r="F532" s="112"/>
      <c r="G532" s="111"/>
      <c r="H532" s="370" t="s">
        <v>136</v>
      </c>
      <c r="I532" s="194" t="s">
        <v>348</v>
      </c>
      <c r="J532" s="160" t="s">
        <v>285</v>
      </c>
      <c r="K532" s="160"/>
      <c r="L532" s="241"/>
      <c r="M532" s="241"/>
      <c r="N532" s="241"/>
      <c r="O532" s="241"/>
      <c r="P532" s="195" t="s">
        <v>348</v>
      </c>
      <c r="Q532" s="160" t="s">
        <v>286</v>
      </c>
      <c r="R532" s="241"/>
      <c r="S532" s="241"/>
      <c r="T532" s="241"/>
      <c r="U532" s="241"/>
      <c r="V532" s="241"/>
      <c r="W532" s="241"/>
      <c r="X532" s="242"/>
      <c r="Y532" s="147"/>
      <c r="Z532" s="105"/>
      <c r="AA532" s="105"/>
      <c r="AB532" s="106"/>
      <c r="AC532" s="365"/>
      <c r="AD532" s="365"/>
      <c r="AE532" s="365"/>
      <c r="AF532" s="365"/>
      <c r="AI532" s="119" t="str">
        <f>"2A:" &amp; IF(AND(I532="□",P532="□",I533="□"),"tokusin_jyusho_code:0:tokusin_yakuzai_code:0:shuudan_comu_code:0",IF(I532="■","tokusin_jyusho_code:2","tokusin_jyusho_code:1")
&amp;IF(P532="■",":tokusin_yakuzai_code:2",":tokusin_yakuzai_code:1")
&amp;IF(I533="■",":shuudan_comu_code:2",":shuudan_comu_code:1"))</f>
        <v>2A:tokusin_jyusho_code:0:tokusin_yakuzai_code:0:shuudan_comu_code:0</v>
      </c>
    </row>
    <row r="533" spans="1:36" s="119" customFormat="1" ht="18.75" customHeight="1" x14ac:dyDescent="0.15">
      <c r="A533" s="255"/>
      <c r="B533" s="256"/>
      <c r="C533" s="109"/>
      <c r="D533" s="110"/>
      <c r="E533" s="111"/>
      <c r="F533" s="112"/>
      <c r="G533" s="111"/>
      <c r="H533" s="371"/>
      <c r="I533" s="143" t="s">
        <v>348</v>
      </c>
      <c r="J533" s="115" t="s">
        <v>299</v>
      </c>
      <c r="K533" s="145"/>
      <c r="L533" s="145"/>
      <c r="M533" s="145"/>
      <c r="N533" s="145"/>
      <c r="O533" s="145"/>
      <c r="P533" s="145"/>
      <c r="Q533" s="144"/>
      <c r="R533" s="145"/>
      <c r="S533" s="145"/>
      <c r="T533" s="145"/>
      <c r="U533" s="145"/>
      <c r="V533" s="145"/>
      <c r="W533" s="145"/>
      <c r="X533" s="146"/>
      <c r="Y533" s="147"/>
      <c r="Z533" s="105"/>
      <c r="AA533" s="105"/>
      <c r="AB533" s="106"/>
      <c r="AC533" s="365"/>
      <c r="AD533" s="365"/>
      <c r="AE533" s="365"/>
      <c r="AF533" s="365"/>
    </row>
    <row r="534" spans="1:36" s="119" customFormat="1" ht="18.75" customHeight="1" x14ac:dyDescent="0.15">
      <c r="A534" s="255"/>
      <c r="B534" s="256"/>
      <c r="C534" s="109"/>
      <c r="D534" s="110"/>
      <c r="E534" s="111"/>
      <c r="F534" s="112"/>
      <c r="G534" s="111"/>
      <c r="H534" s="370" t="s">
        <v>102</v>
      </c>
      <c r="I534" s="194" t="s">
        <v>348</v>
      </c>
      <c r="J534" s="160" t="s">
        <v>300</v>
      </c>
      <c r="K534" s="168"/>
      <c r="L534" s="205"/>
      <c r="M534" s="195" t="s">
        <v>348</v>
      </c>
      <c r="N534" s="160" t="s">
        <v>301</v>
      </c>
      <c r="O534" s="241"/>
      <c r="P534" s="241"/>
      <c r="Q534" s="195" t="s">
        <v>348</v>
      </c>
      <c r="R534" s="160" t="s">
        <v>302</v>
      </c>
      <c r="S534" s="241"/>
      <c r="T534" s="241"/>
      <c r="U534" s="241"/>
      <c r="V534" s="241"/>
      <c r="W534" s="241"/>
      <c r="X534" s="242"/>
      <c r="Y534" s="147"/>
      <c r="Z534" s="105"/>
      <c r="AA534" s="105"/>
      <c r="AB534" s="106"/>
      <c r="AC534" s="365"/>
      <c r="AD534" s="365"/>
      <c r="AE534" s="365"/>
      <c r="AF534" s="365"/>
      <c r="AI534" s="119" t="str">
        <f>"2A:"&amp;IF(AND(I534="□",M534="□",Q534="□",I535="□",Q535="□"),"koriha_rryoho1_code:0:koriha_sryoho_code:0:koriha_gengo_code:0:riha_seisin_code:0:koriha_other_code:0",IF(I534="■","koriha_rryoho1_code:2","koriha_rryoho1_code:1")
&amp;IF(M534="■",":koriha_sryoho_code:2",":koriha_sryoho_code:1")
&amp;IF(Q534="■",":koriha_gengo_code:2",":koriha_gengo_code:1")
&amp;IF(I535="■",":riha_seisin_code:2",":riha_seisin_code:1")
&amp;IF(Q535="■",":koriha_other_code:2",":koriha_other_code:1"))</f>
        <v>2A:koriha_rryoho1_code:0:koriha_sryoho_code:0:koriha_gengo_code:0:riha_seisin_code:0:koriha_other_code:0</v>
      </c>
    </row>
    <row r="535" spans="1:36" s="119" customFormat="1" ht="18.75" customHeight="1" x14ac:dyDescent="0.15">
      <c r="A535" s="255"/>
      <c r="B535" s="256"/>
      <c r="C535" s="109"/>
      <c r="D535" s="110"/>
      <c r="E535" s="111"/>
      <c r="F535" s="112"/>
      <c r="G535" s="111"/>
      <c r="H535" s="371"/>
      <c r="I535" s="143" t="s">
        <v>348</v>
      </c>
      <c r="J535" s="115" t="s">
        <v>303</v>
      </c>
      <c r="K535" s="145"/>
      <c r="L535" s="145"/>
      <c r="M535" s="145"/>
      <c r="N535" s="145"/>
      <c r="O535" s="145"/>
      <c r="P535" s="145"/>
      <c r="Q535" s="191" t="s">
        <v>348</v>
      </c>
      <c r="R535" s="115" t="s">
        <v>304</v>
      </c>
      <c r="S535" s="144"/>
      <c r="T535" s="145"/>
      <c r="U535" s="145"/>
      <c r="V535" s="145"/>
      <c r="W535" s="145"/>
      <c r="X535" s="146"/>
      <c r="Y535" s="147"/>
      <c r="Z535" s="105"/>
      <c r="AA535" s="105"/>
      <c r="AB535" s="106"/>
      <c r="AC535" s="365"/>
      <c r="AD535" s="365"/>
      <c r="AE535" s="365"/>
      <c r="AF535" s="365"/>
    </row>
    <row r="536" spans="1:36" s="119" customFormat="1" ht="18.75" customHeight="1" x14ac:dyDescent="0.15">
      <c r="A536" s="255"/>
      <c r="B536" s="256"/>
      <c r="C536" s="109"/>
      <c r="D536" s="110"/>
      <c r="E536" s="111"/>
      <c r="F536" s="112"/>
      <c r="G536" s="111"/>
      <c r="H536" s="240" t="s">
        <v>385</v>
      </c>
      <c r="I536" s="148" t="s">
        <v>348</v>
      </c>
      <c r="J536" s="149" t="s">
        <v>216</v>
      </c>
      <c r="K536" s="149"/>
      <c r="L536" s="152" t="s">
        <v>348</v>
      </c>
      <c r="M536" s="149" t="s">
        <v>217</v>
      </c>
      <c r="N536" s="149"/>
      <c r="O536" s="152" t="s">
        <v>348</v>
      </c>
      <c r="P536" s="149" t="s">
        <v>218</v>
      </c>
      <c r="Q536" s="154"/>
      <c r="R536" s="154"/>
      <c r="S536" s="154"/>
      <c r="T536" s="154"/>
      <c r="U536" s="241"/>
      <c r="V536" s="241"/>
      <c r="W536" s="241"/>
      <c r="X536" s="242"/>
      <c r="Y536" s="147"/>
      <c r="Z536" s="105"/>
      <c r="AA536" s="105"/>
      <c r="AB536" s="106"/>
      <c r="AC536" s="365"/>
      <c r="AD536" s="365"/>
      <c r="AE536" s="365"/>
      <c r="AF536" s="365"/>
      <c r="AI536" s="119" t="str">
        <f>"2A:field225:" &amp; IF(I536="■",1,IF(L536="■",2,IF(O536="■",3,0)))</f>
        <v>2A:field225:0</v>
      </c>
    </row>
    <row r="537" spans="1:36" s="119" customFormat="1" ht="18.75" customHeight="1" x14ac:dyDescent="0.15">
      <c r="A537" s="255"/>
      <c r="B537" s="256"/>
      <c r="C537" s="109"/>
      <c r="D537" s="110"/>
      <c r="E537" s="111"/>
      <c r="F537" s="112"/>
      <c r="G537" s="111"/>
      <c r="H537" s="157" t="s">
        <v>111</v>
      </c>
      <c r="I537" s="148" t="s">
        <v>348</v>
      </c>
      <c r="J537" s="149" t="s">
        <v>216</v>
      </c>
      <c r="K537" s="149"/>
      <c r="L537" s="152" t="s">
        <v>348</v>
      </c>
      <c r="M537" s="149" t="s">
        <v>224</v>
      </c>
      <c r="N537" s="149"/>
      <c r="O537" s="152" t="s">
        <v>348</v>
      </c>
      <c r="P537" s="149" t="s">
        <v>225</v>
      </c>
      <c r="Q537" s="196"/>
      <c r="R537" s="152" t="s">
        <v>348</v>
      </c>
      <c r="S537" s="149" t="s">
        <v>248</v>
      </c>
      <c r="T537" s="196"/>
      <c r="U537" s="196"/>
      <c r="V537" s="196"/>
      <c r="W537" s="196"/>
      <c r="X537" s="197"/>
      <c r="Y537" s="147"/>
      <c r="Z537" s="105"/>
      <c r="AA537" s="105"/>
      <c r="AB537" s="106"/>
      <c r="AC537" s="365"/>
      <c r="AD537" s="365"/>
      <c r="AE537" s="365"/>
      <c r="AF537" s="365"/>
      <c r="AI537" s="119" t="str">
        <f>"2A:serteikyo_kyoka_code:" &amp; IF(I537="■",1,IF(L537="■",6,IF(O537="■",5,IF(R537="■",7,0))))</f>
        <v>2A:serteikyo_kyoka_code:0</v>
      </c>
    </row>
    <row r="538" spans="1:36" s="119" customFormat="1" ht="18.75" customHeight="1" x14ac:dyDescent="0.15">
      <c r="A538" s="255"/>
      <c r="B538" s="256"/>
      <c r="C538" s="109"/>
      <c r="D538" s="110"/>
      <c r="E538" s="111"/>
      <c r="F538" s="112"/>
      <c r="G538" s="111"/>
      <c r="H538" s="329" t="s">
        <v>409</v>
      </c>
      <c r="I538" s="358" t="s">
        <v>348</v>
      </c>
      <c r="J538" s="359" t="s">
        <v>216</v>
      </c>
      <c r="K538" s="359"/>
      <c r="L538" s="360" t="s">
        <v>348</v>
      </c>
      <c r="M538" s="359" t="s">
        <v>232</v>
      </c>
      <c r="N538" s="359"/>
      <c r="O538" s="160"/>
      <c r="P538" s="160"/>
      <c r="Q538" s="160"/>
      <c r="R538" s="160"/>
      <c r="S538" s="160"/>
      <c r="T538" s="160"/>
      <c r="U538" s="160"/>
      <c r="V538" s="160"/>
      <c r="W538" s="160"/>
      <c r="X538" s="163"/>
      <c r="Y538" s="147"/>
      <c r="Z538" s="105"/>
      <c r="AA538" s="105"/>
      <c r="AB538" s="106"/>
      <c r="AC538" s="365"/>
      <c r="AD538" s="365"/>
      <c r="AE538" s="365"/>
      <c r="AF538" s="365"/>
      <c r="AI538" s="119" t="str">
        <f>"2A:field221:" &amp; IF(I538="■",1,IF(L538="■",2,0))</f>
        <v>2A:field221:0</v>
      </c>
    </row>
    <row r="539" spans="1:36" s="119" customFormat="1" ht="18.75" customHeight="1" x14ac:dyDescent="0.15">
      <c r="A539" s="255"/>
      <c r="B539" s="256"/>
      <c r="C539" s="109"/>
      <c r="D539" s="110"/>
      <c r="E539" s="111"/>
      <c r="F539" s="112"/>
      <c r="G539" s="111"/>
      <c r="H539" s="328"/>
      <c r="I539" s="358"/>
      <c r="J539" s="359"/>
      <c r="K539" s="359"/>
      <c r="L539" s="360"/>
      <c r="M539" s="359"/>
      <c r="N539" s="359"/>
      <c r="O539" s="115"/>
      <c r="P539" s="115"/>
      <c r="Q539" s="115"/>
      <c r="R539" s="115"/>
      <c r="S539" s="115"/>
      <c r="T539" s="115"/>
      <c r="U539" s="115"/>
      <c r="V539" s="115"/>
      <c r="W539" s="115"/>
      <c r="X539" s="161"/>
      <c r="Y539" s="147"/>
      <c r="Z539" s="105"/>
      <c r="AA539" s="105"/>
      <c r="AB539" s="106"/>
      <c r="AC539" s="365"/>
      <c r="AD539" s="365"/>
      <c r="AE539" s="365"/>
      <c r="AF539" s="365"/>
    </row>
    <row r="540" spans="1:36" s="119" customFormat="1" ht="18.75" customHeight="1" x14ac:dyDescent="0.15">
      <c r="A540" s="107"/>
      <c r="B540" s="108"/>
      <c r="C540" s="109"/>
      <c r="D540" s="110"/>
      <c r="E540" s="111"/>
      <c r="F540" s="112"/>
      <c r="G540" s="113"/>
      <c r="H540" s="204" t="s">
        <v>405</v>
      </c>
      <c r="I540" s="194" t="s">
        <v>348</v>
      </c>
      <c r="J540" s="160" t="s">
        <v>216</v>
      </c>
      <c r="K540" s="160"/>
      <c r="L540" s="195" t="s">
        <v>348</v>
      </c>
      <c r="M540" s="160" t="s">
        <v>373</v>
      </c>
      <c r="N540" s="246"/>
      <c r="O540" s="195" t="s">
        <v>348</v>
      </c>
      <c r="P540" s="104" t="s">
        <v>374</v>
      </c>
      <c r="Q540" s="247"/>
      <c r="R540" s="195" t="s">
        <v>348</v>
      </c>
      <c r="S540" s="160" t="s">
        <v>375</v>
      </c>
      <c r="T540" s="247"/>
      <c r="U540" s="195" t="s">
        <v>348</v>
      </c>
      <c r="V540" s="160" t="s">
        <v>376</v>
      </c>
      <c r="W540" s="241"/>
      <c r="X540" s="242"/>
      <c r="Y540" s="105"/>
      <c r="Z540" s="105"/>
      <c r="AA540" s="105"/>
      <c r="AB540" s="106"/>
      <c r="AC540" s="365"/>
      <c r="AD540" s="365"/>
      <c r="AE540" s="365"/>
      <c r="AF540" s="365"/>
      <c r="AI540" s="119" t="str">
        <f>"2A:shoguukaizen_code:"&amp;IF(I540="■",1,IF(L540="■",7,IF(O540="■",8,IF(R540="■",9,IF(U540="■","A",0)))))</f>
        <v>2A:shoguukaizen_code:0</v>
      </c>
    </row>
    <row r="541" spans="1:36" s="119" customFormat="1" ht="18.75" customHeight="1" x14ac:dyDescent="0.15">
      <c r="A541" s="253"/>
      <c r="B541" s="254"/>
      <c r="C541" s="132"/>
      <c r="D541" s="133"/>
      <c r="E541" s="126"/>
      <c r="F541" s="134"/>
      <c r="G541" s="126"/>
      <c r="H541" s="340" t="s">
        <v>96</v>
      </c>
      <c r="I541" s="140" t="s">
        <v>348</v>
      </c>
      <c r="J541" s="124" t="s">
        <v>265</v>
      </c>
      <c r="K541" s="137"/>
      <c r="L541" s="231"/>
      <c r="M541" s="136" t="s">
        <v>348</v>
      </c>
      <c r="N541" s="124" t="s">
        <v>293</v>
      </c>
      <c r="O541" s="232"/>
      <c r="P541" s="232"/>
      <c r="Q541" s="136" t="s">
        <v>348</v>
      </c>
      <c r="R541" s="124" t="s">
        <v>294</v>
      </c>
      <c r="S541" s="232"/>
      <c r="T541" s="232"/>
      <c r="U541" s="136" t="s">
        <v>348</v>
      </c>
      <c r="V541" s="124" t="s">
        <v>295</v>
      </c>
      <c r="W541" s="232"/>
      <c r="X541" s="213"/>
      <c r="Y541" s="136" t="s">
        <v>348</v>
      </c>
      <c r="Z541" s="124" t="s">
        <v>215</v>
      </c>
      <c r="AA541" s="124"/>
      <c r="AB541" s="139"/>
      <c r="AC541" s="363"/>
      <c r="AD541" s="363"/>
      <c r="AE541" s="363"/>
      <c r="AF541" s="363"/>
      <c r="AG541" s="119" t="str">
        <f>"ser_code = '" &amp; IF(A551="■","2A","") &amp; "'"</f>
        <v>ser_code = ''</v>
      </c>
      <c r="AH541" s="119" t="str">
        <f>"2A:jininkbn_code:"&amp;IF(F551="■",1,IF(F552="■",2,0))</f>
        <v>2A:jininkbn_code:0</v>
      </c>
      <c r="AI541" s="119" t="str">
        <f>"2A:yakan_kinmu_code:" &amp; IF(I541="■",1,IF(M541="■",2,IF(Q541="■",3,IF(U541="■",7,IF(I542="■",5,IF(M542="■",6,0))))))</f>
        <v>2A:yakan_kinmu_code:0</v>
      </c>
      <c r="AJ541" s="119" t="str">
        <f>"2A:field203:" &amp; IF(Y541="■",1,IF(Y542="■",2,0))</f>
        <v>2A:field203:0</v>
      </c>
    </row>
    <row r="542" spans="1:36" s="119" customFormat="1" ht="18.75" customHeight="1" x14ac:dyDescent="0.15">
      <c r="A542" s="255"/>
      <c r="B542" s="256"/>
      <c r="C542" s="109"/>
      <c r="D542" s="110"/>
      <c r="E542" s="111"/>
      <c r="F542" s="112"/>
      <c r="G542" s="111"/>
      <c r="H542" s="371"/>
      <c r="I542" s="143" t="s">
        <v>348</v>
      </c>
      <c r="J542" s="115" t="s">
        <v>296</v>
      </c>
      <c r="K542" s="166"/>
      <c r="L542" s="116"/>
      <c r="M542" s="191" t="s">
        <v>348</v>
      </c>
      <c r="N542" s="115" t="s">
        <v>266</v>
      </c>
      <c r="O542" s="144"/>
      <c r="P542" s="144"/>
      <c r="Q542" s="144"/>
      <c r="R542" s="144"/>
      <c r="S542" s="144"/>
      <c r="T542" s="144"/>
      <c r="U542" s="144"/>
      <c r="V542" s="144"/>
      <c r="W542" s="144"/>
      <c r="X542" s="226"/>
      <c r="Y542" s="123" t="s">
        <v>348</v>
      </c>
      <c r="Z542" s="104" t="s">
        <v>221</v>
      </c>
      <c r="AA542" s="105"/>
      <c r="AB542" s="106"/>
      <c r="AC542" s="364"/>
      <c r="AD542" s="364"/>
      <c r="AE542" s="364"/>
      <c r="AF542" s="364"/>
      <c r="AG542" s="119" t="str">
        <f>"2A:sisetukbn_code:"&amp;IF(D551="■","6",0)</f>
        <v>2A:sisetukbn_code:0</v>
      </c>
    </row>
    <row r="543" spans="1:36" s="119" customFormat="1" ht="18.75" customHeight="1" x14ac:dyDescent="0.15">
      <c r="A543" s="255"/>
      <c r="B543" s="256"/>
      <c r="C543" s="109"/>
      <c r="D543" s="110"/>
      <c r="E543" s="111"/>
      <c r="F543" s="112"/>
      <c r="G543" s="111"/>
      <c r="H543" s="370" t="s">
        <v>92</v>
      </c>
      <c r="I543" s="194" t="s">
        <v>348</v>
      </c>
      <c r="J543" s="160" t="s">
        <v>216</v>
      </c>
      <c r="K543" s="160"/>
      <c r="L543" s="205"/>
      <c r="M543" s="195" t="s">
        <v>348</v>
      </c>
      <c r="N543" s="160" t="s">
        <v>254</v>
      </c>
      <c r="O543" s="160"/>
      <c r="P543" s="205"/>
      <c r="Q543" s="195" t="s">
        <v>348</v>
      </c>
      <c r="R543" s="198" t="s">
        <v>337</v>
      </c>
      <c r="S543" s="198"/>
      <c r="T543" s="198"/>
      <c r="U543" s="241"/>
      <c r="V543" s="205"/>
      <c r="W543" s="198"/>
      <c r="X543" s="242"/>
      <c r="Y543" s="147"/>
      <c r="Z543" s="105"/>
      <c r="AA543" s="105"/>
      <c r="AB543" s="106"/>
      <c r="AC543" s="365"/>
      <c r="AD543" s="365"/>
      <c r="AE543" s="365"/>
      <c r="AF543" s="365"/>
      <c r="AI543" s="119" t="str">
        <f>"2A:"&amp;IF(AND(I543="□",M543="□",Q543="□",I544="□",M544="□"),"ketu_doctor_code:0",IF(I543="■","ketu_doctor_code:1:field197:1:ketu_kangos_code:1:ketu_kshoku_code:1",IF(M543="■","ketu_doctor_code:2","ketu_doctor_code:1")
&amp;IF(Q543="■",":field197:2",":field197:1")
&amp;IF(I544="■",":ketu_kangos_code:2",":ketu_kangos_code:1")
&amp;IF(M544="■",":ketu_kshoku_code:2",":ketu_kshoku_code:1")))</f>
        <v>2A:ketu_doctor_code:0</v>
      </c>
    </row>
    <row r="544" spans="1:36" s="119" customFormat="1" ht="18.75" customHeight="1" x14ac:dyDescent="0.15">
      <c r="A544" s="255"/>
      <c r="B544" s="256"/>
      <c r="C544" s="109"/>
      <c r="D544" s="110"/>
      <c r="E544" s="111"/>
      <c r="F544" s="112"/>
      <c r="G544" s="111"/>
      <c r="H544" s="371"/>
      <c r="I544" s="143" t="s">
        <v>348</v>
      </c>
      <c r="J544" s="144" t="s">
        <v>338</v>
      </c>
      <c r="K544" s="144"/>
      <c r="L544" s="144"/>
      <c r="M544" s="191" t="s">
        <v>348</v>
      </c>
      <c r="N544" s="144" t="s">
        <v>339</v>
      </c>
      <c r="O544" s="116"/>
      <c r="P544" s="144"/>
      <c r="Q544" s="144"/>
      <c r="R544" s="116"/>
      <c r="S544" s="144"/>
      <c r="T544" s="144"/>
      <c r="U544" s="145"/>
      <c r="V544" s="116"/>
      <c r="W544" s="144"/>
      <c r="X544" s="146"/>
      <c r="Y544" s="147"/>
      <c r="Z544" s="105"/>
      <c r="AA544" s="105"/>
      <c r="AB544" s="106"/>
      <c r="AC544" s="365"/>
      <c r="AD544" s="365"/>
      <c r="AE544" s="365"/>
      <c r="AF544" s="365"/>
    </row>
    <row r="545" spans="1:35" s="119" customFormat="1" ht="18.75" customHeight="1" x14ac:dyDescent="0.15">
      <c r="A545" s="255"/>
      <c r="B545" s="256"/>
      <c r="C545" s="109"/>
      <c r="D545" s="110"/>
      <c r="E545" s="111"/>
      <c r="F545" s="112"/>
      <c r="G545" s="111"/>
      <c r="H545" s="230" t="s">
        <v>97</v>
      </c>
      <c r="I545" s="148" t="s">
        <v>348</v>
      </c>
      <c r="J545" s="149" t="s">
        <v>230</v>
      </c>
      <c r="K545" s="150"/>
      <c r="L545" s="151"/>
      <c r="M545" s="152" t="s">
        <v>348</v>
      </c>
      <c r="N545" s="149" t="s">
        <v>231</v>
      </c>
      <c r="O545" s="154"/>
      <c r="P545" s="154"/>
      <c r="Q545" s="154"/>
      <c r="R545" s="154"/>
      <c r="S545" s="154"/>
      <c r="T545" s="154"/>
      <c r="U545" s="154"/>
      <c r="V545" s="154"/>
      <c r="W545" s="154"/>
      <c r="X545" s="155"/>
      <c r="Y545" s="147"/>
      <c r="Z545" s="105"/>
      <c r="AA545" s="105"/>
      <c r="AB545" s="106"/>
      <c r="AC545" s="365"/>
      <c r="AD545" s="365"/>
      <c r="AE545" s="365"/>
      <c r="AF545" s="365"/>
      <c r="AI545" s="119" t="str">
        <f>"2A:unitcare_code:" &amp; IF(I545="■",1,IF(M545="■",2,0))</f>
        <v>2A:unitcare_code:0</v>
      </c>
    </row>
    <row r="546" spans="1:35" s="119" customFormat="1" ht="18.75" customHeight="1" x14ac:dyDescent="0.15">
      <c r="A546" s="107"/>
      <c r="B546" s="108"/>
      <c r="C546" s="238"/>
      <c r="D546" s="239"/>
      <c r="E546" s="111"/>
      <c r="F546" s="112"/>
      <c r="G546" s="113"/>
      <c r="H546" s="230" t="s">
        <v>103</v>
      </c>
      <c r="I546" s="148" t="s">
        <v>348</v>
      </c>
      <c r="J546" s="149" t="s">
        <v>360</v>
      </c>
      <c r="K546" s="150"/>
      <c r="L546" s="151"/>
      <c r="M546" s="152" t="s">
        <v>348</v>
      </c>
      <c r="N546" s="149" t="s">
        <v>361</v>
      </c>
      <c r="O546" s="150"/>
      <c r="P546" s="150"/>
      <c r="Q546" s="150"/>
      <c r="R546" s="150"/>
      <c r="S546" s="150"/>
      <c r="T546" s="150"/>
      <c r="U546" s="150"/>
      <c r="V546" s="150"/>
      <c r="W546" s="150"/>
      <c r="X546" s="159"/>
      <c r="Y546" s="147"/>
      <c r="Z546" s="105"/>
      <c r="AA546" s="105"/>
      <c r="AB546" s="106"/>
      <c r="AC546" s="365"/>
      <c r="AD546" s="365"/>
      <c r="AE546" s="365"/>
      <c r="AF546" s="365"/>
      <c r="AI546" s="119" t="str">
        <f>"2A:sintaikousoku_code:" &amp; IF(I546="■",1,IF(M546="■",2,0))</f>
        <v>2A:sintaikousoku_code:0</v>
      </c>
    </row>
    <row r="547" spans="1:35" s="119" customFormat="1" ht="19.5" customHeight="1" x14ac:dyDescent="0.15">
      <c r="A547" s="107"/>
      <c r="B547" s="108"/>
      <c r="C547" s="109"/>
      <c r="D547" s="110"/>
      <c r="E547" s="111"/>
      <c r="F547" s="112"/>
      <c r="G547" s="113"/>
      <c r="H547" s="114" t="s">
        <v>369</v>
      </c>
      <c r="I547" s="148" t="s">
        <v>348</v>
      </c>
      <c r="J547" s="149" t="s">
        <v>360</v>
      </c>
      <c r="K547" s="150"/>
      <c r="L547" s="151"/>
      <c r="M547" s="152" t="s">
        <v>348</v>
      </c>
      <c r="N547" s="149" t="s">
        <v>370</v>
      </c>
      <c r="O547" s="153"/>
      <c r="P547" s="149"/>
      <c r="Q547" s="154"/>
      <c r="R547" s="154"/>
      <c r="S547" s="154"/>
      <c r="T547" s="154"/>
      <c r="U547" s="154"/>
      <c r="V547" s="154"/>
      <c r="W547" s="154"/>
      <c r="X547" s="155"/>
      <c r="Y547" s="105"/>
      <c r="Z547" s="105"/>
      <c r="AA547" s="105"/>
      <c r="AB547" s="106"/>
      <c r="AC547" s="365"/>
      <c r="AD547" s="365"/>
      <c r="AE547" s="365"/>
      <c r="AF547" s="365"/>
      <c r="AI547" s="119" t="str">
        <f>"2A:field223:" &amp; IF(I547="■",1,IF(M547="■",2,0))</f>
        <v>2A:field223:0</v>
      </c>
    </row>
    <row r="548" spans="1:35" s="119" customFormat="1" ht="19.5" customHeight="1" x14ac:dyDescent="0.15">
      <c r="A548" s="107"/>
      <c r="B548" s="108"/>
      <c r="C548" s="109"/>
      <c r="D548" s="110"/>
      <c r="E548" s="111"/>
      <c r="F548" s="112"/>
      <c r="G548" s="113"/>
      <c r="H548" s="114" t="s">
        <v>390</v>
      </c>
      <c r="I548" s="148" t="s">
        <v>348</v>
      </c>
      <c r="J548" s="149" t="s">
        <v>360</v>
      </c>
      <c r="K548" s="150"/>
      <c r="L548" s="151"/>
      <c r="M548" s="152" t="s">
        <v>348</v>
      </c>
      <c r="N548" s="149" t="s">
        <v>370</v>
      </c>
      <c r="O548" s="153"/>
      <c r="P548" s="149"/>
      <c r="Q548" s="154"/>
      <c r="R548" s="154"/>
      <c r="S548" s="154"/>
      <c r="T548" s="154"/>
      <c r="U548" s="154"/>
      <c r="V548" s="154"/>
      <c r="W548" s="154"/>
      <c r="X548" s="155"/>
      <c r="Y548" s="105"/>
      <c r="Z548" s="105"/>
      <c r="AA548" s="105"/>
      <c r="AB548" s="106"/>
      <c r="AC548" s="365"/>
      <c r="AD548" s="365"/>
      <c r="AE548" s="365"/>
      <c r="AF548" s="365"/>
      <c r="AI548" s="119" t="str">
        <f>"2A:field232:" &amp; IF(I548="■",1,IF(M548="■",2,0))</f>
        <v>2A:field232:0</v>
      </c>
    </row>
    <row r="549" spans="1:35" s="119" customFormat="1" ht="18.75" customHeight="1" x14ac:dyDescent="0.15">
      <c r="A549" s="255"/>
      <c r="B549" s="256"/>
      <c r="C549" s="109"/>
      <c r="D549" s="110"/>
      <c r="E549" s="111"/>
      <c r="F549" s="112"/>
      <c r="G549" s="111"/>
      <c r="H549" s="230" t="s">
        <v>149</v>
      </c>
      <c r="I549" s="148" t="s">
        <v>348</v>
      </c>
      <c r="J549" s="149" t="s">
        <v>265</v>
      </c>
      <c r="K549" s="150"/>
      <c r="L549" s="151"/>
      <c r="M549" s="152" t="s">
        <v>348</v>
      </c>
      <c r="N549" s="149" t="s">
        <v>297</v>
      </c>
      <c r="O549" s="154"/>
      <c r="P549" s="154"/>
      <c r="Q549" s="154"/>
      <c r="R549" s="154"/>
      <c r="S549" s="154"/>
      <c r="T549" s="154"/>
      <c r="U549" s="154"/>
      <c r="V549" s="154"/>
      <c r="W549" s="154"/>
      <c r="X549" s="155"/>
      <c r="Y549" s="147"/>
      <c r="Z549" s="105"/>
      <c r="AA549" s="105"/>
      <c r="AB549" s="106"/>
      <c r="AC549" s="365"/>
      <c r="AD549" s="365"/>
      <c r="AE549" s="365"/>
      <c r="AF549" s="365"/>
      <c r="AI549" s="119" t="str">
        <f>"2A:field190:" &amp; IF(I549="■",1,IF(M549="■",2,0))</f>
        <v>2A:field190:0</v>
      </c>
    </row>
    <row r="550" spans="1:35" s="119" customFormat="1" ht="18.75" customHeight="1" x14ac:dyDescent="0.15">
      <c r="A550" s="255"/>
      <c r="B550" s="256"/>
      <c r="C550" s="109"/>
      <c r="D550" s="110"/>
      <c r="E550" s="111"/>
      <c r="F550" s="112"/>
      <c r="G550" s="111"/>
      <c r="H550" s="230" t="s">
        <v>150</v>
      </c>
      <c r="I550" s="148" t="s">
        <v>348</v>
      </c>
      <c r="J550" s="149" t="s">
        <v>265</v>
      </c>
      <c r="K550" s="150"/>
      <c r="L550" s="151"/>
      <c r="M550" s="152" t="s">
        <v>348</v>
      </c>
      <c r="N550" s="149" t="s">
        <v>297</v>
      </c>
      <c r="O550" s="154"/>
      <c r="P550" s="154"/>
      <c r="Q550" s="154"/>
      <c r="R550" s="154"/>
      <c r="S550" s="154"/>
      <c r="T550" s="154"/>
      <c r="U550" s="154"/>
      <c r="V550" s="154"/>
      <c r="W550" s="154"/>
      <c r="X550" s="155"/>
      <c r="Y550" s="147"/>
      <c r="Z550" s="105"/>
      <c r="AA550" s="105"/>
      <c r="AB550" s="106"/>
      <c r="AC550" s="365"/>
      <c r="AD550" s="365"/>
      <c r="AE550" s="365"/>
      <c r="AF550" s="365"/>
      <c r="AI550" s="119" t="str">
        <f>"2A:field191:" &amp; IF(I550="■",1,IF(M550="■",2,0))</f>
        <v>2A:field191:0</v>
      </c>
    </row>
    <row r="551" spans="1:35" s="119" customFormat="1" ht="18.75" customHeight="1" x14ac:dyDescent="0.15">
      <c r="A551" s="128" t="s">
        <v>348</v>
      </c>
      <c r="B551" s="256" t="s">
        <v>191</v>
      </c>
      <c r="C551" s="109" t="s">
        <v>172</v>
      </c>
      <c r="D551" s="123" t="s">
        <v>348</v>
      </c>
      <c r="E551" s="111" t="s">
        <v>347</v>
      </c>
      <c r="F551" s="123" t="s">
        <v>348</v>
      </c>
      <c r="G551" s="111" t="s">
        <v>344</v>
      </c>
      <c r="H551" s="230" t="s">
        <v>104</v>
      </c>
      <c r="I551" s="148" t="s">
        <v>348</v>
      </c>
      <c r="J551" s="149" t="s">
        <v>216</v>
      </c>
      <c r="K551" s="150"/>
      <c r="L551" s="152" t="s">
        <v>348</v>
      </c>
      <c r="M551" s="149" t="s">
        <v>232</v>
      </c>
      <c r="N551" s="154"/>
      <c r="O551" s="154"/>
      <c r="P551" s="154"/>
      <c r="Q551" s="154"/>
      <c r="R551" s="154"/>
      <c r="S551" s="154"/>
      <c r="T551" s="154"/>
      <c r="U551" s="154"/>
      <c r="V551" s="154"/>
      <c r="W551" s="154"/>
      <c r="X551" s="155"/>
      <c r="Y551" s="147"/>
      <c r="Z551" s="105"/>
      <c r="AA551" s="105"/>
      <c r="AB551" s="106"/>
      <c r="AC551" s="365"/>
      <c r="AD551" s="365"/>
      <c r="AE551" s="365"/>
      <c r="AF551" s="365"/>
      <c r="AI551" s="119" t="str">
        <f>"2A:jyakuninti_uke_code:" &amp; IF(I551="■",1,IF(L551="■",2,0))</f>
        <v>2A:jyakuninti_uke_code:0</v>
      </c>
    </row>
    <row r="552" spans="1:35" s="119" customFormat="1" ht="18.75" customHeight="1" x14ac:dyDescent="0.15">
      <c r="A552" s="255"/>
      <c r="B552" s="256"/>
      <c r="C552" s="109"/>
      <c r="D552" s="110"/>
      <c r="E552" s="111"/>
      <c r="F552" s="123" t="s">
        <v>348</v>
      </c>
      <c r="G552" s="111" t="s">
        <v>330</v>
      </c>
      <c r="H552" s="230" t="s">
        <v>94</v>
      </c>
      <c r="I552" s="148" t="s">
        <v>348</v>
      </c>
      <c r="J552" s="149" t="s">
        <v>230</v>
      </c>
      <c r="K552" s="150"/>
      <c r="L552" s="151"/>
      <c r="M552" s="152" t="s">
        <v>348</v>
      </c>
      <c r="N552" s="149" t="s">
        <v>231</v>
      </c>
      <c r="O552" s="154"/>
      <c r="P552" s="154"/>
      <c r="Q552" s="154"/>
      <c r="R552" s="154"/>
      <c r="S552" s="154"/>
      <c r="T552" s="154"/>
      <c r="U552" s="154"/>
      <c r="V552" s="154"/>
      <c r="W552" s="154"/>
      <c r="X552" s="155"/>
      <c r="Y552" s="147"/>
      <c r="Z552" s="105"/>
      <c r="AA552" s="105"/>
      <c r="AB552" s="106"/>
      <c r="AC552" s="365"/>
      <c r="AD552" s="365"/>
      <c r="AE552" s="365"/>
      <c r="AF552" s="365"/>
      <c r="AI552" s="119" t="str">
        <f>"2A:sougei_code:" &amp; IF(I552="■",1,IF(M552="■",2,0))</f>
        <v>2A:sougei_code:0</v>
      </c>
    </row>
    <row r="553" spans="1:35" s="119" customFormat="1" ht="19.5" customHeight="1" x14ac:dyDescent="0.15">
      <c r="A553" s="255"/>
      <c r="B553" s="256"/>
      <c r="C553" s="109"/>
      <c r="D553" s="110"/>
      <c r="E553" s="111"/>
      <c r="F553" s="110"/>
      <c r="G553" s="111"/>
      <c r="H553" s="114" t="s">
        <v>372</v>
      </c>
      <c r="I553" s="148" t="s">
        <v>348</v>
      </c>
      <c r="J553" s="149" t="s">
        <v>216</v>
      </c>
      <c r="K553" s="149"/>
      <c r="L553" s="152" t="s">
        <v>348</v>
      </c>
      <c r="M553" s="149" t="s">
        <v>232</v>
      </c>
      <c r="N553" s="149"/>
      <c r="O553" s="154"/>
      <c r="P553" s="149"/>
      <c r="Q553" s="154"/>
      <c r="R553" s="154"/>
      <c r="S553" s="154"/>
      <c r="T553" s="154"/>
      <c r="U553" s="154"/>
      <c r="V553" s="154"/>
      <c r="W553" s="154"/>
      <c r="X553" s="155"/>
      <c r="Y553" s="105"/>
      <c r="Z553" s="105"/>
      <c r="AA553" s="105"/>
      <c r="AB553" s="106"/>
      <c r="AC553" s="365"/>
      <c r="AD553" s="365"/>
      <c r="AE553" s="365"/>
      <c r="AF553" s="365"/>
      <c r="AI553" s="119" t="str">
        <f>"2A:field224:" &amp; IF(I553="■",1,IF(L553="■",2,0))</f>
        <v>2A:field224:0</v>
      </c>
    </row>
    <row r="554" spans="1:35" s="119" customFormat="1" ht="18.75" customHeight="1" x14ac:dyDescent="0.15">
      <c r="A554" s="255"/>
      <c r="B554" s="256"/>
      <c r="C554" s="109"/>
      <c r="D554" s="110"/>
      <c r="E554" s="111"/>
      <c r="F554" s="110"/>
      <c r="G554" s="111"/>
      <c r="H554" s="230" t="s">
        <v>106</v>
      </c>
      <c r="I554" s="148" t="s">
        <v>348</v>
      </c>
      <c r="J554" s="149" t="s">
        <v>216</v>
      </c>
      <c r="K554" s="150"/>
      <c r="L554" s="152" t="s">
        <v>348</v>
      </c>
      <c r="M554" s="149" t="s">
        <v>232</v>
      </c>
      <c r="N554" s="154"/>
      <c r="O554" s="154"/>
      <c r="P554" s="154"/>
      <c r="Q554" s="154"/>
      <c r="R554" s="154"/>
      <c r="S554" s="154"/>
      <c r="T554" s="154"/>
      <c r="U554" s="154"/>
      <c r="V554" s="154"/>
      <c r="W554" s="154"/>
      <c r="X554" s="155"/>
      <c r="Y554" s="147"/>
      <c r="Z554" s="105"/>
      <c r="AA554" s="105"/>
      <c r="AB554" s="106"/>
      <c r="AC554" s="365"/>
      <c r="AD554" s="365"/>
      <c r="AE554" s="365"/>
      <c r="AF554" s="365"/>
      <c r="AI554" s="119" t="str">
        <f>"2A:ryouyoushoku_code:" &amp; IF(I554="■",1,IF(L554="■",2,0))</f>
        <v>2A:ryouyoushoku_code:0</v>
      </c>
    </row>
    <row r="555" spans="1:35" s="119" customFormat="1" ht="18.75" customHeight="1" x14ac:dyDescent="0.15">
      <c r="A555" s="255"/>
      <c r="B555" s="256"/>
      <c r="C555" s="109"/>
      <c r="D555" s="110"/>
      <c r="E555" s="111"/>
      <c r="F555" s="110"/>
      <c r="G555" s="111"/>
      <c r="H555" s="230" t="s">
        <v>109</v>
      </c>
      <c r="I555" s="148" t="s">
        <v>348</v>
      </c>
      <c r="J555" s="149" t="s">
        <v>216</v>
      </c>
      <c r="K555" s="149"/>
      <c r="L555" s="152" t="s">
        <v>348</v>
      </c>
      <c r="M555" s="149" t="s">
        <v>217</v>
      </c>
      <c r="N555" s="149"/>
      <c r="O555" s="152" t="s">
        <v>348</v>
      </c>
      <c r="P555" s="149" t="s">
        <v>218</v>
      </c>
      <c r="Q555" s="154"/>
      <c r="R555" s="154"/>
      <c r="S555" s="154"/>
      <c r="T555" s="154"/>
      <c r="U555" s="154"/>
      <c r="V555" s="154"/>
      <c r="W555" s="154"/>
      <c r="X555" s="155"/>
      <c r="Y555" s="147"/>
      <c r="Z555" s="105"/>
      <c r="AA555" s="105"/>
      <c r="AB555" s="106"/>
      <c r="AC555" s="365"/>
      <c r="AD555" s="365"/>
      <c r="AE555" s="365"/>
      <c r="AF555" s="365"/>
      <c r="AI555" s="119" t="str">
        <f>"2A:ninti_senmoncare_code:" &amp; IF(I555="■",1,IF(O555="■",3,IF(L555="■",2,0)))</f>
        <v>2A:ninti_senmoncare_code:0</v>
      </c>
    </row>
    <row r="556" spans="1:35" s="119" customFormat="1" ht="18.75" customHeight="1" x14ac:dyDescent="0.15">
      <c r="A556" s="255"/>
      <c r="B556" s="256"/>
      <c r="C556" s="109"/>
      <c r="D556" s="110"/>
      <c r="E556" s="111"/>
      <c r="F556" s="112"/>
      <c r="G556" s="111"/>
      <c r="H556" s="230" t="s">
        <v>192</v>
      </c>
      <c r="I556" s="148" t="s">
        <v>348</v>
      </c>
      <c r="J556" s="149" t="s">
        <v>216</v>
      </c>
      <c r="K556" s="149"/>
      <c r="L556" s="152" t="s">
        <v>348</v>
      </c>
      <c r="M556" s="149" t="s">
        <v>217</v>
      </c>
      <c r="N556" s="149"/>
      <c r="O556" s="152" t="s">
        <v>348</v>
      </c>
      <c r="P556" s="149" t="s">
        <v>218</v>
      </c>
      <c r="Q556" s="154"/>
      <c r="R556" s="154"/>
      <c r="S556" s="154"/>
      <c r="T556" s="154"/>
      <c r="U556" s="154"/>
      <c r="V556" s="154"/>
      <c r="W556" s="154"/>
      <c r="X556" s="155"/>
      <c r="Y556" s="147"/>
      <c r="Z556" s="105"/>
      <c r="AA556" s="105"/>
      <c r="AB556" s="106"/>
      <c r="AC556" s="365"/>
      <c r="AD556" s="365"/>
      <c r="AE556" s="365"/>
      <c r="AF556" s="365"/>
      <c r="AI556" s="119" t="str">
        <f>"2A:field164:" &amp; IF(I556="■",1,IF(L556="■",2,IF(O556="■",3,0)))</f>
        <v>2A:field164:0</v>
      </c>
    </row>
    <row r="557" spans="1:35" s="119" customFormat="1" ht="18.75" customHeight="1" x14ac:dyDescent="0.15">
      <c r="A557" s="255"/>
      <c r="B557" s="256"/>
      <c r="C557" s="109"/>
      <c r="D557" s="110"/>
      <c r="E557" s="111"/>
      <c r="F557" s="112"/>
      <c r="G557" s="111"/>
      <c r="H557" s="240" t="s">
        <v>385</v>
      </c>
      <c r="I557" s="148" t="s">
        <v>348</v>
      </c>
      <c r="J557" s="149" t="s">
        <v>216</v>
      </c>
      <c r="K557" s="149"/>
      <c r="L557" s="152" t="s">
        <v>348</v>
      </c>
      <c r="M557" s="149" t="s">
        <v>217</v>
      </c>
      <c r="N557" s="149"/>
      <c r="O557" s="152" t="s">
        <v>348</v>
      </c>
      <c r="P557" s="149" t="s">
        <v>218</v>
      </c>
      <c r="Q557" s="154"/>
      <c r="R557" s="154"/>
      <c r="S557" s="154"/>
      <c r="T557" s="154"/>
      <c r="U557" s="241"/>
      <c r="V557" s="241"/>
      <c r="W557" s="241"/>
      <c r="X557" s="242"/>
      <c r="Y557" s="147"/>
      <c r="Z557" s="105"/>
      <c r="AA557" s="105"/>
      <c r="AB557" s="106"/>
      <c r="AC557" s="365"/>
      <c r="AD557" s="365"/>
      <c r="AE557" s="365"/>
      <c r="AF557" s="365"/>
      <c r="AI557" s="119" t="str">
        <f>"2A:field225:" &amp; IF(I557="■",1,IF(L557="■",2,IF(O557="■",3,0)))</f>
        <v>2A:field225:0</v>
      </c>
    </row>
    <row r="558" spans="1:35" s="119" customFormat="1" ht="18.75" customHeight="1" x14ac:dyDescent="0.15">
      <c r="A558" s="255"/>
      <c r="B558" s="256"/>
      <c r="C558" s="109"/>
      <c r="D558" s="110"/>
      <c r="E558" s="111"/>
      <c r="F558" s="112"/>
      <c r="G558" s="111"/>
      <c r="H558" s="157" t="s">
        <v>111</v>
      </c>
      <c r="I558" s="148" t="s">
        <v>348</v>
      </c>
      <c r="J558" s="149" t="s">
        <v>216</v>
      </c>
      <c r="K558" s="149"/>
      <c r="L558" s="152" t="s">
        <v>348</v>
      </c>
      <c r="M558" s="149" t="s">
        <v>224</v>
      </c>
      <c r="N558" s="149"/>
      <c r="O558" s="152" t="s">
        <v>348</v>
      </c>
      <c r="P558" s="149" t="s">
        <v>225</v>
      </c>
      <c r="Q558" s="196"/>
      <c r="R558" s="152" t="s">
        <v>348</v>
      </c>
      <c r="S558" s="149" t="s">
        <v>248</v>
      </c>
      <c r="T558" s="196"/>
      <c r="U558" s="196"/>
      <c r="V558" s="196"/>
      <c r="W558" s="196"/>
      <c r="X558" s="197"/>
      <c r="Y558" s="147"/>
      <c r="Z558" s="105"/>
      <c r="AA558" s="105"/>
      <c r="AB558" s="106"/>
      <c r="AC558" s="365"/>
      <c r="AD558" s="365"/>
      <c r="AE558" s="365"/>
      <c r="AF558" s="365"/>
      <c r="AI558" s="119" t="str">
        <f>"2A:serteikyo_kyoka_code:" &amp; IF(I558="■",1,IF(L558="■",6,IF(O558="■",5,IF(R558="■",7,0))))</f>
        <v>2A:serteikyo_kyoka_code:0</v>
      </c>
    </row>
    <row r="559" spans="1:35" s="119" customFormat="1" ht="18.75" customHeight="1" x14ac:dyDescent="0.15">
      <c r="A559" s="255"/>
      <c r="B559" s="256"/>
      <c r="C559" s="109"/>
      <c r="D559" s="110"/>
      <c r="E559" s="111"/>
      <c r="F559" s="112"/>
      <c r="G559" s="111"/>
      <c r="H559" s="329" t="s">
        <v>409</v>
      </c>
      <c r="I559" s="358" t="s">
        <v>348</v>
      </c>
      <c r="J559" s="359" t="s">
        <v>216</v>
      </c>
      <c r="K559" s="359"/>
      <c r="L559" s="360" t="s">
        <v>348</v>
      </c>
      <c r="M559" s="359" t="s">
        <v>232</v>
      </c>
      <c r="N559" s="359"/>
      <c r="O559" s="160"/>
      <c r="P559" s="160"/>
      <c r="Q559" s="160"/>
      <c r="R559" s="160"/>
      <c r="S559" s="160"/>
      <c r="T559" s="160"/>
      <c r="U559" s="160"/>
      <c r="V559" s="160"/>
      <c r="W559" s="160"/>
      <c r="X559" s="163"/>
      <c r="Y559" s="147"/>
      <c r="Z559" s="105"/>
      <c r="AA559" s="105"/>
      <c r="AB559" s="106"/>
      <c r="AC559" s="365"/>
      <c r="AD559" s="365"/>
      <c r="AE559" s="365"/>
      <c r="AF559" s="365"/>
      <c r="AI559" s="119" t="str">
        <f>"2A:field221:" &amp; IF(I559="■",1,IF(L559="■",2,0))</f>
        <v>2A:field221:0</v>
      </c>
    </row>
    <row r="560" spans="1:35" s="119" customFormat="1" ht="18.75" customHeight="1" x14ac:dyDescent="0.15">
      <c r="A560" s="255"/>
      <c r="B560" s="256"/>
      <c r="C560" s="109"/>
      <c r="D560" s="110"/>
      <c r="E560" s="111"/>
      <c r="F560" s="112"/>
      <c r="G560" s="111"/>
      <c r="H560" s="328"/>
      <c r="I560" s="358"/>
      <c r="J560" s="359"/>
      <c r="K560" s="359"/>
      <c r="L560" s="360"/>
      <c r="M560" s="359"/>
      <c r="N560" s="359"/>
      <c r="O560" s="115"/>
      <c r="P560" s="115"/>
      <c r="Q560" s="115"/>
      <c r="R560" s="115"/>
      <c r="S560" s="115"/>
      <c r="T560" s="115"/>
      <c r="U560" s="115"/>
      <c r="V560" s="115"/>
      <c r="W560" s="115"/>
      <c r="X560" s="161"/>
      <c r="Y560" s="147"/>
      <c r="Z560" s="105"/>
      <c r="AA560" s="105"/>
      <c r="AB560" s="106"/>
      <c r="AC560" s="365"/>
      <c r="AD560" s="365"/>
      <c r="AE560" s="365"/>
      <c r="AF560" s="365"/>
    </row>
    <row r="561" spans="1:37" s="119" customFormat="1" ht="18.75" customHeight="1" x14ac:dyDescent="0.15">
      <c r="A561" s="170"/>
      <c r="B561" s="171"/>
      <c r="C561" s="172"/>
      <c r="D561" s="173"/>
      <c r="E561" s="174"/>
      <c r="F561" s="175"/>
      <c r="G561" s="176"/>
      <c r="H561" s="95" t="s">
        <v>405</v>
      </c>
      <c r="I561" s="177" t="s">
        <v>348</v>
      </c>
      <c r="J561" s="96" t="s">
        <v>216</v>
      </c>
      <c r="K561" s="96"/>
      <c r="L561" s="178" t="s">
        <v>348</v>
      </c>
      <c r="M561" s="96" t="s">
        <v>373</v>
      </c>
      <c r="N561" s="97"/>
      <c r="O561" s="178" t="s">
        <v>348</v>
      </c>
      <c r="P561" s="99" t="s">
        <v>374</v>
      </c>
      <c r="Q561" s="98"/>
      <c r="R561" s="178" t="s">
        <v>348</v>
      </c>
      <c r="S561" s="96" t="s">
        <v>375</v>
      </c>
      <c r="T561" s="98"/>
      <c r="U561" s="178" t="s">
        <v>348</v>
      </c>
      <c r="V561" s="96" t="s">
        <v>376</v>
      </c>
      <c r="W561" s="100"/>
      <c r="X561" s="101"/>
      <c r="Y561" s="179"/>
      <c r="Z561" s="179"/>
      <c r="AA561" s="179"/>
      <c r="AB561" s="180"/>
      <c r="AC561" s="366"/>
      <c r="AD561" s="366"/>
      <c r="AE561" s="366"/>
      <c r="AF561" s="366"/>
      <c r="AI561" s="119" t="str">
        <f>"2A:shoguukaizen_code:"&amp;IF(I561="■",1,IF(L561="■",7,IF(O561="■",8,IF(R561="■",9,IF(U561="■","A",0)))))</f>
        <v>2A:shoguukaizen_code:0</v>
      </c>
    </row>
    <row r="562" spans="1:37" s="119" customFormat="1" ht="18.75" customHeight="1" x14ac:dyDescent="0.15">
      <c r="A562" s="130"/>
      <c r="B562" s="131"/>
      <c r="C562" s="132"/>
      <c r="D562" s="133"/>
      <c r="E562" s="126"/>
      <c r="F562" s="134"/>
      <c r="G562" s="126"/>
      <c r="H562" s="257" t="s">
        <v>92</v>
      </c>
      <c r="I562" s="183" t="s">
        <v>348</v>
      </c>
      <c r="J562" s="184" t="s">
        <v>216</v>
      </c>
      <c r="K562" s="184"/>
      <c r="L562" s="186"/>
      <c r="M562" s="187" t="s">
        <v>348</v>
      </c>
      <c r="N562" s="184" t="s">
        <v>246</v>
      </c>
      <c r="O562" s="184"/>
      <c r="P562" s="186"/>
      <c r="Q562" s="187" t="s">
        <v>348</v>
      </c>
      <c r="R562" s="222" t="s">
        <v>247</v>
      </c>
      <c r="S562" s="222"/>
      <c r="T562" s="185"/>
      <c r="U562" s="185"/>
      <c r="V562" s="185"/>
      <c r="W562" s="185"/>
      <c r="X562" s="250"/>
      <c r="Y562" s="140" t="s">
        <v>348</v>
      </c>
      <c r="Z562" s="124" t="s">
        <v>215</v>
      </c>
      <c r="AA562" s="124"/>
      <c r="AB562" s="139"/>
      <c r="AC562" s="140" t="s">
        <v>348</v>
      </c>
      <c r="AD562" s="124" t="s">
        <v>215</v>
      </c>
      <c r="AE562" s="124"/>
      <c r="AF562" s="139"/>
      <c r="AG562" s="119" t="str">
        <f>"ser_code = '" &amp; IF(A570="■",33,"") &amp; "'"</f>
        <v>ser_code = ''</v>
      </c>
      <c r="AH562" s="119" t="str">
        <f>"33:jininkbn_code:"&amp;IF(F569="■",1,IF(F570="■",2,0))</f>
        <v>33:jininkbn_code:0</v>
      </c>
      <c r="AI562" s="119" t="str">
        <f>"33:"&amp;IF(AND(I562="□",M562="□",Q562="□"),"ketu_kangos_code:0",IF(I562="■","ketu_kangos_code:1:ketu_kshoku_code:1",IF(M562="■","ketu_kangos_code:2","ketu_kangos_code:1")&amp;IF(Q562="■",":ketu_kshoku_code:2",":ketu_kshoku_code:1")))</f>
        <v>33:ketu_kangos_code:0</v>
      </c>
      <c r="AJ562" s="119" t="str">
        <f>"33:field203:" &amp; IF(Y562="■",1,IF(Y563="■",2,0))</f>
        <v>33:field203:0</v>
      </c>
      <c r="AK562" s="119" t="str">
        <f>"33:waribiki_code:" &amp; IF(AC562="■",1,IF(AC563="■",2,0))</f>
        <v>33:waribiki_code:0</v>
      </c>
    </row>
    <row r="563" spans="1:37" s="119" customFormat="1" ht="18.75" customHeight="1" x14ac:dyDescent="0.15">
      <c r="A563" s="107"/>
      <c r="B563" s="108"/>
      <c r="C563" s="109"/>
      <c r="D563" s="110"/>
      <c r="E563" s="111"/>
      <c r="F563" s="112"/>
      <c r="G563" s="111"/>
      <c r="H563" s="192" t="s">
        <v>166</v>
      </c>
      <c r="I563" s="148" t="s">
        <v>348</v>
      </c>
      <c r="J563" s="149" t="s">
        <v>360</v>
      </c>
      <c r="K563" s="150"/>
      <c r="L563" s="151"/>
      <c r="M563" s="152" t="s">
        <v>348</v>
      </c>
      <c r="N563" s="149" t="s">
        <v>361</v>
      </c>
      <c r="O563" s="154"/>
      <c r="P563" s="154"/>
      <c r="Q563" s="149"/>
      <c r="R563" s="149"/>
      <c r="S563" s="149"/>
      <c r="T563" s="149"/>
      <c r="U563" s="149"/>
      <c r="V563" s="149"/>
      <c r="W563" s="149"/>
      <c r="X563" s="158"/>
      <c r="Y563" s="128" t="s">
        <v>348</v>
      </c>
      <c r="Z563" s="104" t="s">
        <v>221</v>
      </c>
      <c r="AA563" s="105"/>
      <c r="AB563" s="106"/>
      <c r="AC563" s="128" t="s">
        <v>348</v>
      </c>
      <c r="AD563" s="104" t="s">
        <v>221</v>
      </c>
      <c r="AE563" s="105"/>
      <c r="AF563" s="106"/>
      <c r="AG563" s="119" t="str">
        <f>"33:sisetukbn_code:" &amp; IF(D568="■",1,IF(D569="■",2,IF(D570="■",3,IF(D571="■",5,IF(D572="■",6,IF(D573="■",7,0))))))</f>
        <v>33:sisetukbn_code:0</v>
      </c>
      <c r="AI563" s="119" t="str">
        <f>"33:sintaikousoku_code:" &amp; IF(I563="■",1,IF(M563="■",2,0))</f>
        <v>33:sintaikousoku_code:0</v>
      </c>
    </row>
    <row r="564" spans="1:37" s="119" customFormat="1" ht="19.5" customHeight="1" x14ac:dyDescent="0.15">
      <c r="A564" s="107"/>
      <c r="B564" s="108"/>
      <c r="C564" s="109"/>
      <c r="D564" s="110"/>
      <c r="E564" s="111"/>
      <c r="F564" s="112"/>
      <c r="G564" s="113"/>
      <c r="H564" s="114" t="s">
        <v>369</v>
      </c>
      <c r="I564" s="148" t="s">
        <v>348</v>
      </c>
      <c r="J564" s="149" t="s">
        <v>360</v>
      </c>
      <c r="K564" s="150"/>
      <c r="L564" s="151"/>
      <c r="M564" s="152" t="s">
        <v>348</v>
      </c>
      <c r="N564" s="149" t="s">
        <v>370</v>
      </c>
      <c r="O564" s="153"/>
      <c r="P564" s="149"/>
      <c r="Q564" s="154"/>
      <c r="R564" s="154"/>
      <c r="S564" s="154"/>
      <c r="T564" s="154"/>
      <c r="U564" s="154"/>
      <c r="V564" s="154"/>
      <c r="W564" s="154"/>
      <c r="X564" s="155"/>
      <c r="Y564" s="105"/>
      <c r="Z564" s="105"/>
      <c r="AA564" s="105"/>
      <c r="AB564" s="106"/>
      <c r="AC564" s="147"/>
      <c r="AD564" s="105"/>
      <c r="AE564" s="105"/>
      <c r="AF564" s="106"/>
      <c r="AI564" s="119" t="str">
        <f>"33:field223:" &amp; IF(I564="■",1,IF(M564="■",2,0))</f>
        <v>33:field223:0</v>
      </c>
    </row>
    <row r="565" spans="1:37" s="119" customFormat="1" ht="19.5" customHeight="1" x14ac:dyDescent="0.15">
      <c r="A565" s="107"/>
      <c r="B565" s="108"/>
      <c r="C565" s="109"/>
      <c r="D565" s="110"/>
      <c r="E565" s="111"/>
      <c r="F565" s="112"/>
      <c r="G565" s="113"/>
      <c r="H565" s="114" t="s">
        <v>390</v>
      </c>
      <c r="I565" s="148" t="s">
        <v>348</v>
      </c>
      <c r="J565" s="149" t="s">
        <v>360</v>
      </c>
      <c r="K565" s="150"/>
      <c r="L565" s="151"/>
      <c r="M565" s="152" t="s">
        <v>348</v>
      </c>
      <c r="N565" s="149" t="s">
        <v>370</v>
      </c>
      <c r="O565" s="153"/>
      <c r="P565" s="149"/>
      <c r="Q565" s="154"/>
      <c r="R565" s="154"/>
      <c r="S565" s="154"/>
      <c r="T565" s="154"/>
      <c r="U565" s="154"/>
      <c r="V565" s="154"/>
      <c r="W565" s="154"/>
      <c r="X565" s="155"/>
      <c r="Y565" s="105"/>
      <c r="Z565" s="105"/>
      <c r="AA565" s="105"/>
      <c r="AB565" s="106"/>
      <c r="AC565" s="147"/>
      <c r="AD565" s="105"/>
      <c r="AE565" s="105"/>
      <c r="AF565" s="106"/>
      <c r="AI565" s="119" t="str">
        <f>"33:field232:" &amp; IF(I565="■",1,IF(M565="■",2,0))</f>
        <v>33:field232:0</v>
      </c>
    </row>
    <row r="566" spans="1:37" s="119" customFormat="1" ht="18.75" customHeight="1" x14ac:dyDescent="0.15">
      <c r="A566" s="107"/>
      <c r="B566" s="108"/>
      <c r="C566" s="109"/>
      <c r="D566" s="110"/>
      <c r="E566" s="111"/>
      <c r="F566" s="112"/>
      <c r="G566" s="111"/>
      <c r="H566" s="192" t="s">
        <v>170</v>
      </c>
      <c r="I566" s="148" t="s">
        <v>348</v>
      </c>
      <c r="J566" s="149" t="s">
        <v>216</v>
      </c>
      <c r="K566" s="149"/>
      <c r="L566" s="152" t="s">
        <v>348</v>
      </c>
      <c r="M566" s="149" t="s">
        <v>217</v>
      </c>
      <c r="N566" s="149"/>
      <c r="O566" s="152" t="s">
        <v>348</v>
      </c>
      <c r="P566" s="149" t="s">
        <v>218</v>
      </c>
      <c r="Q566" s="149"/>
      <c r="R566" s="149"/>
      <c r="S566" s="149"/>
      <c r="T566" s="149"/>
      <c r="U566" s="149"/>
      <c r="V566" s="149"/>
      <c r="W566" s="149"/>
      <c r="X566" s="158"/>
      <c r="Y566" s="147"/>
      <c r="Z566" s="105"/>
      <c r="AA566" s="105"/>
      <c r="AB566" s="106"/>
      <c r="AC566" s="147"/>
      <c r="AD566" s="105"/>
      <c r="AE566" s="105"/>
      <c r="AF566" s="106"/>
      <c r="AI566" s="119" t="str">
        <f>"33:field165:" &amp; IF(I566="■",1,IF(L566="■",2,IF(O566="■",3,0)))</f>
        <v>33:field165:0</v>
      </c>
    </row>
    <row r="567" spans="1:37" s="119" customFormat="1" ht="37.5" customHeight="1" x14ac:dyDescent="0.15">
      <c r="A567" s="107"/>
      <c r="B567" s="108"/>
      <c r="C567" s="109"/>
      <c r="D567" s="110"/>
      <c r="E567" s="111"/>
      <c r="F567" s="112"/>
      <c r="G567" s="111"/>
      <c r="H567" s="227" t="s">
        <v>182</v>
      </c>
      <c r="I567" s="148" t="s">
        <v>348</v>
      </c>
      <c r="J567" s="149" t="s">
        <v>216</v>
      </c>
      <c r="K567" s="150"/>
      <c r="L567" s="152" t="s">
        <v>348</v>
      </c>
      <c r="M567" s="149" t="s">
        <v>232</v>
      </c>
      <c r="N567" s="149"/>
      <c r="O567" s="149"/>
      <c r="P567" s="149"/>
      <c r="Q567" s="149"/>
      <c r="R567" s="149"/>
      <c r="S567" s="149"/>
      <c r="T567" s="149"/>
      <c r="U567" s="149"/>
      <c r="V567" s="149"/>
      <c r="W567" s="149"/>
      <c r="X567" s="158"/>
      <c r="Y567" s="147"/>
      <c r="Z567" s="105"/>
      <c r="AA567" s="105"/>
      <c r="AB567" s="106"/>
      <c r="AC567" s="147"/>
      <c r="AD567" s="105"/>
      <c r="AE567" s="105"/>
      <c r="AF567" s="106"/>
      <c r="AI567" s="119" t="str">
        <f>"33:field214:" &amp; IF(I567="■",1,IF(L567="■",2,0))</f>
        <v>33:field214:0</v>
      </c>
    </row>
    <row r="568" spans="1:37" s="119" customFormat="1" ht="18.75" customHeight="1" x14ac:dyDescent="0.15">
      <c r="A568" s="107"/>
      <c r="B568" s="108"/>
      <c r="C568" s="109"/>
      <c r="D568" s="128" t="s">
        <v>348</v>
      </c>
      <c r="E568" s="111" t="s">
        <v>351</v>
      </c>
      <c r="F568" s="112"/>
      <c r="G568" s="111"/>
      <c r="H568" s="157" t="s">
        <v>164</v>
      </c>
      <c r="I568" s="148" t="s">
        <v>348</v>
      </c>
      <c r="J568" s="149" t="s">
        <v>216</v>
      </c>
      <c r="K568" s="149"/>
      <c r="L568" s="152" t="s">
        <v>348</v>
      </c>
      <c r="M568" s="149" t="s">
        <v>233</v>
      </c>
      <c r="N568" s="149"/>
      <c r="O568" s="152" t="s">
        <v>348</v>
      </c>
      <c r="P568" s="149" t="s">
        <v>234</v>
      </c>
      <c r="Q568" s="149"/>
      <c r="R568" s="149"/>
      <c r="S568" s="149"/>
      <c r="T568" s="149"/>
      <c r="U568" s="149"/>
      <c r="V568" s="149"/>
      <c r="W568" s="149"/>
      <c r="X568" s="158"/>
      <c r="Y568" s="147"/>
      <c r="Z568" s="105"/>
      <c r="AA568" s="105"/>
      <c r="AB568" s="106"/>
      <c r="AC568" s="147"/>
      <c r="AD568" s="105"/>
      <c r="AE568" s="105"/>
      <c r="AF568" s="106"/>
      <c r="AI568" s="119" t="str">
        <f>"33:field185:" &amp; IF(I568="■",1,IF(L568="■",3,IF(O568="■",2,0)))</f>
        <v>33:field185:0</v>
      </c>
    </row>
    <row r="569" spans="1:37" s="119" customFormat="1" ht="18.75" customHeight="1" x14ac:dyDescent="0.15">
      <c r="A569" s="107"/>
      <c r="B569" s="108"/>
      <c r="C569" s="109"/>
      <c r="D569" s="128" t="s">
        <v>348</v>
      </c>
      <c r="E569" s="111" t="s">
        <v>352</v>
      </c>
      <c r="F569" s="128" t="s">
        <v>348</v>
      </c>
      <c r="G569" s="111" t="s">
        <v>357</v>
      </c>
      <c r="H569" s="157" t="s">
        <v>202</v>
      </c>
      <c r="I569" s="148" t="s">
        <v>348</v>
      </c>
      <c r="J569" s="149" t="s">
        <v>216</v>
      </c>
      <c r="K569" s="150"/>
      <c r="L569" s="152" t="s">
        <v>348</v>
      </c>
      <c r="M569" s="149" t="s">
        <v>232</v>
      </c>
      <c r="N569" s="149"/>
      <c r="O569" s="149"/>
      <c r="P569" s="149"/>
      <c r="Q569" s="149"/>
      <c r="R569" s="149"/>
      <c r="S569" s="149"/>
      <c r="T569" s="149"/>
      <c r="U569" s="149"/>
      <c r="V569" s="149"/>
      <c r="W569" s="149"/>
      <c r="X569" s="158"/>
      <c r="Y569" s="147"/>
      <c r="Z569" s="105"/>
      <c r="AA569" s="105"/>
      <c r="AB569" s="106"/>
      <c r="AC569" s="147"/>
      <c r="AD569" s="105"/>
      <c r="AE569" s="105"/>
      <c r="AF569" s="106"/>
      <c r="AI569" s="119" t="str">
        <f>"33:kobetu_kunren_code:" &amp; IF(I569="■",1,IF(L569="■",2,0))</f>
        <v>33:kobetu_kunren_code:0</v>
      </c>
    </row>
    <row r="570" spans="1:37" s="119" customFormat="1" ht="18.75" customHeight="1" x14ac:dyDescent="0.15">
      <c r="A570" s="128" t="s">
        <v>348</v>
      </c>
      <c r="B570" s="108">
        <v>33</v>
      </c>
      <c r="C570" s="109" t="s">
        <v>350</v>
      </c>
      <c r="D570" s="128" t="s">
        <v>348</v>
      </c>
      <c r="E570" s="111" t="s">
        <v>353</v>
      </c>
      <c r="F570" s="128" t="s">
        <v>348</v>
      </c>
      <c r="G570" s="111" t="s">
        <v>358</v>
      </c>
      <c r="H570" s="157" t="s">
        <v>152</v>
      </c>
      <c r="I570" s="148" t="s">
        <v>348</v>
      </c>
      <c r="J570" s="149" t="s">
        <v>216</v>
      </c>
      <c r="K570" s="150"/>
      <c r="L570" s="152" t="s">
        <v>348</v>
      </c>
      <c r="M570" s="149" t="s">
        <v>232</v>
      </c>
      <c r="N570" s="149"/>
      <c r="O570" s="149"/>
      <c r="P570" s="149"/>
      <c r="Q570" s="149"/>
      <c r="R570" s="149"/>
      <c r="S570" s="149"/>
      <c r="T570" s="149"/>
      <c r="U570" s="149"/>
      <c r="V570" s="149"/>
      <c r="W570" s="149"/>
      <c r="X570" s="158"/>
      <c r="Y570" s="147"/>
      <c r="Z570" s="105"/>
      <c r="AA570" s="105"/>
      <c r="AB570" s="106"/>
      <c r="AC570" s="147"/>
      <c r="AD570" s="105"/>
      <c r="AE570" s="105"/>
      <c r="AF570" s="106"/>
      <c r="AI570" s="119" t="str">
        <f>"33:field186:" &amp; IF(I570="■",1,IF(L570="■",2,0))</f>
        <v>33:field186:0</v>
      </c>
    </row>
    <row r="571" spans="1:37" s="119" customFormat="1" ht="18.75" customHeight="1" x14ac:dyDescent="0.15">
      <c r="A571" s="107"/>
      <c r="B571" s="108"/>
      <c r="C571" s="109"/>
      <c r="D571" s="128" t="s">
        <v>348</v>
      </c>
      <c r="E571" s="111" t="s">
        <v>354</v>
      </c>
      <c r="F571" s="112"/>
      <c r="G571" s="111" t="s">
        <v>359</v>
      </c>
      <c r="H571" s="192" t="s">
        <v>395</v>
      </c>
      <c r="I571" s="148" t="s">
        <v>348</v>
      </c>
      <c r="J571" s="149" t="s">
        <v>216</v>
      </c>
      <c r="K571" s="149"/>
      <c r="L571" s="152" t="s">
        <v>348</v>
      </c>
      <c r="M571" s="149" t="s">
        <v>388</v>
      </c>
      <c r="N571" s="149"/>
      <c r="O571" s="152" t="s">
        <v>348</v>
      </c>
      <c r="P571" s="149" t="s">
        <v>396</v>
      </c>
      <c r="Q571" s="149"/>
      <c r="R571" s="149"/>
      <c r="S571" s="149"/>
      <c r="T571" s="149"/>
      <c r="U571" s="149"/>
      <c r="V571" s="150"/>
      <c r="W571" s="150"/>
      <c r="X571" s="159"/>
      <c r="Y571" s="147"/>
      <c r="Z571" s="105"/>
      <c r="AA571" s="105"/>
      <c r="AB571" s="106"/>
      <c r="AC571" s="147"/>
      <c r="AD571" s="105"/>
      <c r="AE571" s="105"/>
      <c r="AF571" s="106"/>
      <c r="AI571" s="119" t="str">
        <f>"33:yakankango_code:" &amp; IF(I571="■",1,IF(L571="■",3,IF(O571="■",2,0)))</f>
        <v>33:yakankango_code:0</v>
      </c>
    </row>
    <row r="572" spans="1:37" s="119" customFormat="1" ht="18.75" customHeight="1" x14ac:dyDescent="0.15">
      <c r="A572" s="107"/>
      <c r="B572" s="108"/>
      <c r="C572" s="109"/>
      <c r="D572" s="128" t="s">
        <v>348</v>
      </c>
      <c r="E572" s="111" t="s">
        <v>355</v>
      </c>
      <c r="F572" s="112"/>
      <c r="G572" s="111"/>
      <c r="H572" s="192" t="s">
        <v>167</v>
      </c>
      <c r="I572" s="148" t="s">
        <v>348</v>
      </c>
      <c r="J572" s="149" t="s">
        <v>216</v>
      </c>
      <c r="K572" s="150"/>
      <c r="L572" s="152" t="s">
        <v>348</v>
      </c>
      <c r="M572" s="149" t="s">
        <v>232</v>
      </c>
      <c r="N572" s="150"/>
      <c r="O572" s="150"/>
      <c r="P572" s="150"/>
      <c r="Q572" s="150"/>
      <c r="R572" s="150"/>
      <c r="S572" s="150"/>
      <c r="T572" s="150"/>
      <c r="U572" s="150"/>
      <c r="V572" s="150"/>
      <c r="W572" s="150"/>
      <c r="X572" s="159"/>
      <c r="Y572" s="147"/>
      <c r="Z572" s="105"/>
      <c r="AA572" s="105"/>
      <c r="AB572" s="106"/>
      <c r="AC572" s="147"/>
      <c r="AD572" s="105"/>
      <c r="AE572" s="105"/>
      <c r="AF572" s="106"/>
      <c r="AI572" s="119" t="str">
        <f>"33:jyakuninti_uke_code:" &amp; IF(I572="■",1,IF(L572="■",2,0))</f>
        <v>33:jyakuninti_uke_code:0</v>
      </c>
    </row>
    <row r="573" spans="1:37" s="119" customFormat="1" ht="18.75" customHeight="1" x14ac:dyDescent="0.15">
      <c r="A573" s="107"/>
      <c r="B573" s="108"/>
      <c r="C573" s="109"/>
      <c r="D573" s="128" t="s">
        <v>348</v>
      </c>
      <c r="E573" s="111" t="s">
        <v>356</v>
      </c>
      <c r="F573" s="112"/>
      <c r="G573" s="111"/>
      <c r="H573" s="157" t="s">
        <v>175</v>
      </c>
      <c r="I573" s="148" t="s">
        <v>348</v>
      </c>
      <c r="J573" s="149" t="s">
        <v>216</v>
      </c>
      <c r="K573" s="150"/>
      <c r="L573" s="152" t="s">
        <v>348</v>
      </c>
      <c r="M573" s="149" t="s">
        <v>232</v>
      </c>
      <c r="N573" s="149"/>
      <c r="O573" s="149"/>
      <c r="P573" s="149"/>
      <c r="Q573" s="149"/>
      <c r="R573" s="149"/>
      <c r="S573" s="149"/>
      <c r="T573" s="149"/>
      <c r="U573" s="149"/>
      <c r="V573" s="149"/>
      <c r="W573" s="149"/>
      <c r="X573" s="158"/>
      <c r="Y573" s="147"/>
      <c r="Z573" s="105"/>
      <c r="AA573" s="105"/>
      <c r="AB573" s="106"/>
      <c r="AC573" s="147"/>
      <c r="AD573" s="105"/>
      <c r="AE573" s="105"/>
      <c r="AF573" s="106"/>
      <c r="AI573" s="119" t="str">
        <f>"33:field212:" &amp; IF(I573="■",1,IF(L573="■",2,0))</f>
        <v>33:field212:0</v>
      </c>
    </row>
    <row r="574" spans="1:37" s="119" customFormat="1" ht="18.75" customHeight="1" x14ac:dyDescent="0.15">
      <c r="A574" s="107"/>
      <c r="B574" s="108"/>
      <c r="C574" s="109"/>
      <c r="D574" s="110"/>
      <c r="E574" s="111"/>
      <c r="F574" s="112"/>
      <c r="G574" s="111"/>
      <c r="H574" s="230" t="s">
        <v>112</v>
      </c>
      <c r="I574" s="148" t="s">
        <v>348</v>
      </c>
      <c r="J574" s="149" t="s">
        <v>216</v>
      </c>
      <c r="K574" s="150"/>
      <c r="L574" s="152" t="s">
        <v>348</v>
      </c>
      <c r="M574" s="149" t="s">
        <v>232</v>
      </c>
      <c r="N574" s="150"/>
      <c r="O574" s="150"/>
      <c r="P574" s="150"/>
      <c r="Q574" s="150"/>
      <c r="R574" s="150"/>
      <c r="S574" s="150"/>
      <c r="T574" s="150"/>
      <c r="U574" s="150"/>
      <c r="V574" s="150"/>
      <c r="W574" s="150"/>
      <c r="X574" s="159"/>
      <c r="Y574" s="147"/>
      <c r="Z574" s="105"/>
      <c r="AA574" s="105"/>
      <c r="AB574" s="106"/>
      <c r="AC574" s="147"/>
      <c r="AD574" s="105"/>
      <c r="AE574" s="105"/>
      <c r="AF574" s="106"/>
      <c r="AI574" s="119" t="str">
        <f>"33:terminal_code:" &amp; IF(I574="■",1,IF(L574="■",2,0))</f>
        <v>33:terminal_code:0</v>
      </c>
    </row>
    <row r="575" spans="1:37" s="119" customFormat="1" ht="18.75" customHeight="1" x14ac:dyDescent="0.15">
      <c r="A575" s="107"/>
      <c r="B575" s="108"/>
      <c r="C575" s="109"/>
      <c r="D575" s="110"/>
      <c r="E575" s="111"/>
      <c r="F575" s="112"/>
      <c r="G575" s="111"/>
      <c r="H575" s="192" t="s">
        <v>109</v>
      </c>
      <c r="I575" s="148" t="s">
        <v>348</v>
      </c>
      <c r="J575" s="149" t="s">
        <v>216</v>
      </c>
      <c r="K575" s="149"/>
      <c r="L575" s="152" t="s">
        <v>348</v>
      </c>
      <c r="M575" s="149" t="s">
        <v>217</v>
      </c>
      <c r="N575" s="149"/>
      <c r="O575" s="152" t="s">
        <v>348</v>
      </c>
      <c r="P575" s="149" t="s">
        <v>218</v>
      </c>
      <c r="Q575" s="150"/>
      <c r="R575" s="150"/>
      <c r="S575" s="150"/>
      <c r="T575" s="150"/>
      <c r="U575" s="150"/>
      <c r="V575" s="150"/>
      <c r="W575" s="150"/>
      <c r="X575" s="159"/>
      <c r="Y575" s="147"/>
      <c r="Z575" s="105"/>
      <c r="AA575" s="105"/>
      <c r="AB575" s="106"/>
      <c r="AC575" s="147"/>
      <c r="AD575" s="105"/>
      <c r="AE575" s="105"/>
      <c r="AF575" s="106"/>
      <c r="AI575" s="119" t="str">
        <f>"33:ninti_senmoncare_code:" &amp; IF(I575="■",1,IF(O575="■",3,IF(L575="■",2,0)))</f>
        <v>33:ninti_senmoncare_code:0</v>
      </c>
    </row>
    <row r="576" spans="1:37" s="119" customFormat="1" ht="18.75" customHeight="1" x14ac:dyDescent="0.15">
      <c r="A576" s="107"/>
      <c r="B576" s="108"/>
      <c r="C576" s="109"/>
      <c r="D576" s="110"/>
      <c r="E576" s="111"/>
      <c r="F576" s="112"/>
      <c r="G576" s="111"/>
      <c r="H576" s="230" t="s">
        <v>397</v>
      </c>
      <c r="I576" s="148" t="s">
        <v>348</v>
      </c>
      <c r="J576" s="149" t="s">
        <v>216</v>
      </c>
      <c r="K576" s="149"/>
      <c r="L576" s="152" t="s">
        <v>348</v>
      </c>
      <c r="M576" s="115" t="s">
        <v>232</v>
      </c>
      <c r="N576" s="149"/>
      <c r="O576" s="149"/>
      <c r="P576" s="149"/>
      <c r="Q576" s="150"/>
      <c r="R576" s="150"/>
      <c r="S576" s="150"/>
      <c r="T576" s="150"/>
      <c r="U576" s="150"/>
      <c r="V576" s="150"/>
      <c r="W576" s="150"/>
      <c r="X576" s="159"/>
      <c r="Y576" s="147"/>
      <c r="Z576" s="105"/>
      <c r="AA576" s="105"/>
      <c r="AB576" s="106"/>
      <c r="AC576" s="147"/>
      <c r="AD576" s="105"/>
      <c r="AE576" s="105"/>
      <c r="AF576" s="106"/>
      <c r="AI576" s="119" t="str">
        <f>"33:field226:" &amp; IF(I576="■",1,IF(L576="■",2,0))</f>
        <v>33:field226:0</v>
      </c>
    </row>
    <row r="577" spans="1:37" s="119" customFormat="1" ht="18.75" customHeight="1" x14ac:dyDescent="0.15">
      <c r="A577" s="107"/>
      <c r="B577" s="108"/>
      <c r="C577" s="238"/>
      <c r="D577" s="110"/>
      <c r="E577" s="111"/>
      <c r="F577" s="112"/>
      <c r="G577" s="111"/>
      <c r="H577" s="230" t="s">
        <v>398</v>
      </c>
      <c r="I577" s="148" t="s">
        <v>348</v>
      </c>
      <c r="J577" s="149" t="s">
        <v>216</v>
      </c>
      <c r="K577" s="149"/>
      <c r="L577" s="152" t="s">
        <v>348</v>
      </c>
      <c r="M577" s="115" t="s">
        <v>232</v>
      </c>
      <c r="N577" s="149"/>
      <c r="O577" s="149"/>
      <c r="P577" s="149"/>
      <c r="Q577" s="150"/>
      <c r="R577" s="150"/>
      <c r="S577" s="150"/>
      <c r="T577" s="150"/>
      <c r="U577" s="150"/>
      <c r="V577" s="150"/>
      <c r="W577" s="150"/>
      <c r="X577" s="159"/>
      <c r="Y577" s="147"/>
      <c r="Z577" s="105"/>
      <c r="AA577" s="105"/>
      <c r="AB577" s="106"/>
      <c r="AC577" s="147"/>
      <c r="AD577" s="105"/>
      <c r="AE577" s="105"/>
      <c r="AF577" s="106"/>
      <c r="AI577" s="119" t="str">
        <f>"33:field227:" &amp; IF(I577="■",1,IF(L577="■",2,0))</f>
        <v>33:field227:0</v>
      </c>
    </row>
    <row r="578" spans="1:37" s="119" customFormat="1" ht="18.75" customHeight="1" x14ac:dyDescent="0.15">
      <c r="A578" s="107"/>
      <c r="B578" s="108"/>
      <c r="C578" s="109"/>
      <c r="D578" s="110"/>
      <c r="E578" s="111"/>
      <c r="F578" s="112"/>
      <c r="G578" s="111"/>
      <c r="H578" s="240" t="s">
        <v>385</v>
      </c>
      <c r="I578" s="148" t="s">
        <v>348</v>
      </c>
      <c r="J578" s="149" t="s">
        <v>216</v>
      </c>
      <c r="K578" s="149"/>
      <c r="L578" s="152" t="s">
        <v>348</v>
      </c>
      <c r="M578" s="149" t="s">
        <v>217</v>
      </c>
      <c r="N578" s="149"/>
      <c r="O578" s="152" t="s">
        <v>348</v>
      </c>
      <c r="P578" s="149" t="s">
        <v>218</v>
      </c>
      <c r="Q578" s="154"/>
      <c r="R578" s="154"/>
      <c r="S578" s="154"/>
      <c r="T578" s="154"/>
      <c r="U578" s="241"/>
      <c r="V578" s="241"/>
      <c r="W578" s="241"/>
      <c r="X578" s="242"/>
      <c r="Y578" s="147"/>
      <c r="Z578" s="105"/>
      <c r="AA578" s="105"/>
      <c r="AB578" s="106"/>
      <c r="AC578" s="147"/>
      <c r="AD578" s="105"/>
      <c r="AE578" s="105"/>
      <c r="AF578" s="106"/>
      <c r="AI578" s="119" t="str">
        <f>"33:field225:" &amp; IF(I578="■",1,IF(L578="■",2,IF(O578="■",3,0)))</f>
        <v>33:field225:0</v>
      </c>
    </row>
    <row r="579" spans="1:37" s="119" customFormat="1" ht="18.75" customHeight="1" x14ac:dyDescent="0.15">
      <c r="A579" s="107"/>
      <c r="B579" s="108"/>
      <c r="C579" s="109"/>
      <c r="D579" s="110"/>
      <c r="E579" s="111"/>
      <c r="F579" s="112"/>
      <c r="G579" s="111"/>
      <c r="H579" s="227" t="s">
        <v>168</v>
      </c>
      <c r="I579" s="148" t="s">
        <v>348</v>
      </c>
      <c r="J579" s="149" t="s">
        <v>216</v>
      </c>
      <c r="K579" s="149"/>
      <c r="L579" s="152" t="s">
        <v>348</v>
      </c>
      <c r="M579" s="149" t="s">
        <v>224</v>
      </c>
      <c r="N579" s="149"/>
      <c r="O579" s="152" t="s">
        <v>348</v>
      </c>
      <c r="P579" s="149" t="s">
        <v>234</v>
      </c>
      <c r="Q579" s="196"/>
      <c r="R579" s="152" t="s">
        <v>348</v>
      </c>
      <c r="S579" s="149" t="s">
        <v>248</v>
      </c>
      <c r="T579" s="149"/>
      <c r="U579" s="149"/>
      <c r="V579" s="149"/>
      <c r="W579" s="149"/>
      <c r="X579" s="158"/>
      <c r="Y579" s="147"/>
      <c r="Z579" s="105"/>
      <c r="AA579" s="105"/>
      <c r="AB579" s="106"/>
      <c r="AC579" s="147"/>
      <c r="AD579" s="105"/>
      <c r="AE579" s="105"/>
      <c r="AF579" s="106"/>
      <c r="AI579" s="119" t="str">
        <f>"33:serteikyo_kyoka_code:" &amp; IF(I579="■",1,IF(L579="■",6,IF(O579="■",2,IF(R579="■",7,0))))</f>
        <v>33:serteikyo_kyoka_code:0</v>
      </c>
    </row>
    <row r="580" spans="1:37" s="119" customFormat="1" ht="18.75" customHeight="1" x14ac:dyDescent="0.15">
      <c r="A580" s="107"/>
      <c r="B580" s="108"/>
      <c r="C580" s="109"/>
      <c r="D580" s="110"/>
      <c r="E580" s="111"/>
      <c r="F580" s="112"/>
      <c r="G580" s="113"/>
      <c r="H580" s="204" t="s">
        <v>405</v>
      </c>
      <c r="I580" s="194" t="s">
        <v>348</v>
      </c>
      <c r="J580" s="160" t="s">
        <v>216</v>
      </c>
      <c r="K580" s="160"/>
      <c r="L580" s="195" t="s">
        <v>348</v>
      </c>
      <c r="M580" s="160" t="s">
        <v>373</v>
      </c>
      <c r="N580" s="246"/>
      <c r="O580" s="195" t="s">
        <v>348</v>
      </c>
      <c r="P580" s="104" t="s">
        <v>374</v>
      </c>
      <c r="Q580" s="247"/>
      <c r="R580" s="195" t="s">
        <v>348</v>
      </c>
      <c r="S580" s="160" t="s">
        <v>375</v>
      </c>
      <c r="T580" s="247"/>
      <c r="U580" s="195" t="s">
        <v>348</v>
      </c>
      <c r="V580" s="160" t="s">
        <v>376</v>
      </c>
      <c r="W580" s="241"/>
      <c r="X580" s="242"/>
      <c r="Y580" s="105"/>
      <c r="Z580" s="105"/>
      <c r="AA580" s="105"/>
      <c r="AB580" s="106"/>
      <c r="AC580" s="147"/>
      <c r="AD580" s="105"/>
      <c r="AE580" s="105"/>
      <c r="AF580" s="106"/>
      <c r="AI580" s="119" t="str">
        <f>"33:shoguukaizen_code:"&amp;IF(I580="■",1,IF(L580="■",7,IF(O580="■",8,IF(R580="■",9,IF(U580="■","A",0)))))</f>
        <v>33:shoguukaizen_code:0</v>
      </c>
    </row>
    <row r="581" spans="1:37" s="119" customFormat="1" ht="18.75" customHeight="1" x14ac:dyDescent="0.15">
      <c r="A581" s="130"/>
      <c r="B581" s="131"/>
      <c r="C581" s="220"/>
      <c r="D581" s="134"/>
      <c r="E581" s="126"/>
      <c r="F581" s="134"/>
      <c r="G581" s="135"/>
      <c r="H581" s="257" t="s">
        <v>92</v>
      </c>
      <c r="I581" s="183" t="s">
        <v>348</v>
      </c>
      <c r="J581" s="184" t="s">
        <v>216</v>
      </c>
      <c r="K581" s="184"/>
      <c r="L581" s="186"/>
      <c r="M581" s="187" t="s">
        <v>348</v>
      </c>
      <c r="N581" s="184" t="s">
        <v>246</v>
      </c>
      <c r="O581" s="184"/>
      <c r="P581" s="186"/>
      <c r="Q581" s="187" t="s">
        <v>348</v>
      </c>
      <c r="R581" s="222" t="s">
        <v>247</v>
      </c>
      <c r="S581" s="222"/>
      <c r="T581" s="185"/>
      <c r="U581" s="185"/>
      <c r="V581" s="185"/>
      <c r="W581" s="185"/>
      <c r="X581" s="250"/>
      <c r="Y581" s="140" t="s">
        <v>348</v>
      </c>
      <c r="Z581" s="124" t="s">
        <v>215</v>
      </c>
      <c r="AA581" s="124"/>
      <c r="AB581" s="139"/>
      <c r="AC581" s="140" t="s">
        <v>348</v>
      </c>
      <c r="AD581" s="124" t="s">
        <v>215</v>
      </c>
      <c r="AE581" s="124"/>
      <c r="AF581" s="139"/>
      <c r="AG581" s="119" t="str">
        <f>"ser_code = '" &amp; IF(A586="■",27,"") &amp; "'"</f>
        <v>ser_code = ''</v>
      </c>
      <c r="AI581" s="119" t="str">
        <f>"27:"&amp;IF(AND(I581="□",M581="□",Q581="□"),"ketu_kangos_code:0",IF(I581="■","ketu_kangos_code:1:ketu_kshoku_code:1",IF(M581="■","ketu_kangos_code:2","ketu_kangos_code:1")&amp;IF(Q581="■",":ketu_kshoku_code:2",":ketu_kshoku_code:1")))</f>
        <v>27:ketu_kangos_code:0</v>
      </c>
      <c r="AJ581" s="119" t="str">
        <f>"27:field203:" &amp; IF(Y581="■",1,IF(Y582="■",2,0))</f>
        <v>27:field203:0</v>
      </c>
      <c r="AK581" s="119" t="str">
        <f>"27:waribiki_code:" &amp; IF(AC581="■",1,IF(AC582="■",2,0))</f>
        <v>27:waribiki_code:0</v>
      </c>
    </row>
    <row r="582" spans="1:37" s="119" customFormat="1" ht="18.75" customHeight="1" x14ac:dyDescent="0.15">
      <c r="A582" s="107"/>
      <c r="B582" s="108"/>
      <c r="C582" s="238"/>
      <c r="D582" s="239"/>
      <c r="E582" s="111"/>
      <c r="F582" s="112"/>
      <c r="G582" s="113"/>
      <c r="H582" s="230" t="s">
        <v>103</v>
      </c>
      <c r="I582" s="148" t="s">
        <v>348</v>
      </c>
      <c r="J582" s="149" t="s">
        <v>360</v>
      </c>
      <c r="K582" s="150"/>
      <c r="L582" s="151"/>
      <c r="M582" s="152" t="s">
        <v>348</v>
      </c>
      <c r="N582" s="149" t="s">
        <v>361</v>
      </c>
      <c r="O582" s="150"/>
      <c r="P582" s="150"/>
      <c r="Q582" s="150"/>
      <c r="R582" s="150"/>
      <c r="S582" s="150"/>
      <c r="T582" s="150"/>
      <c r="U582" s="150"/>
      <c r="V582" s="150"/>
      <c r="W582" s="150"/>
      <c r="X582" s="159"/>
      <c r="Y582" s="128" t="s">
        <v>348</v>
      </c>
      <c r="Z582" s="104" t="s">
        <v>221</v>
      </c>
      <c r="AA582" s="105"/>
      <c r="AB582" s="106"/>
      <c r="AC582" s="128" t="s">
        <v>348</v>
      </c>
      <c r="AD582" s="104" t="s">
        <v>221</v>
      </c>
      <c r="AE582" s="105"/>
      <c r="AF582" s="106"/>
      <c r="AG582" s="119" t="str">
        <f>"27:sisetukbn_code:" &amp; IF(D585="■",1,IF(D586="■",2,IF(D587="■",5,IF(D588="■",6,0))))</f>
        <v>27:sisetukbn_code:0</v>
      </c>
      <c r="AI582" s="119" t="str">
        <f>"2A:sintaikousoku_code:" &amp; IF(I582="■",1,IF(M582="■",2,0))</f>
        <v>2A:sintaikousoku_code:0</v>
      </c>
    </row>
    <row r="583" spans="1:37" s="119" customFormat="1" ht="19.5" customHeight="1" x14ac:dyDescent="0.15">
      <c r="A583" s="107"/>
      <c r="B583" s="108"/>
      <c r="C583" s="224"/>
      <c r="D583" s="164"/>
      <c r="E583" s="111"/>
      <c r="F583" s="112"/>
      <c r="G583" s="113"/>
      <c r="H583" s="114" t="s">
        <v>369</v>
      </c>
      <c r="I583" s="148" t="s">
        <v>348</v>
      </c>
      <c r="J583" s="149" t="s">
        <v>360</v>
      </c>
      <c r="K583" s="150"/>
      <c r="L583" s="151"/>
      <c r="M583" s="152" t="s">
        <v>348</v>
      </c>
      <c r="N583" s="149" t="s">
        <v>370</v>
      </c>
      <c r="O583" s="153"/>
      <c r="P583" s="149"/>
      <c r="Q583" s="154"/>
      <c r="R583" s="154"/>
      <c r="S583" s="154"/>
      <c r="T583" s="154"/>
      <c r="U583" s="154"/>
      <c r="V583" s="154"/>
      <c r="W583" s="154"/>
      <c r="X583" s="155"/>
      <c r="Y583" s="164"/>
      <c r="Z583" s="104"/>
      <c r="AA583" s="105"/>
      <c r="AB583" s="106"/>
      <c r="AC583" s="164"/>
      <c r="AD583" s="104"/>
      <c r="AE583" s="105"/>
      <c r="AF583" s="106"/>
      <c r="AI583" s="119" t="str">
        <f>"27:field223:" &amp; IF(I583="■",1,IF(M583="■",2,0))</f>
        <v>27:field223:0</v>
      </c>
    </row>
    <row r="584" spans="1:37" s="119" customFormat="1" ht="19.5" customHeight="1" x14ac:dyDescent="0.15">
      <c r="A584" s="107"/>
      <c r="B584" s="108"/>
      <c r="C584" s="224"/>
      <c r="D584" s="164"/>
      <c r="E584" s="111"/>
      <c r="F584" s="112"/>
      <c r="G584" s="113"/>
      <c r="H584" s="114" t="s">
        <v>390</v>
      </c>
      <c r="I584" s="148" t="s">
        <v>348</v>
      </c>
      <c r="J584" s="149" t="s">
        <v>360</v>
      </c>
      <c r="K584" s="150"/>
      <c r="L584" s="151"/>
      <c r="M584" s="152" t="s">
        <v>348</v>
      </c>
      <c r="N584" s="149" t="s">
        <v>370</v>
      </c>
      <c r="O584" s="153"/>
      <c r="P584" s="149"/>
      <c r="Q584" s="154"/>
      <c r="R584" s="154"/>
      <c r="S584" s="154"/>
      <c r="T584" s="154"/>
      <c r="U584" s="154"/>
      <c r="V584" s="154"/>
      <c r="W584" s="154"/>
      <c r="X584" s="155"/>
      <c r="Y584" s="164"/>
      <c r="Z584" s="104"/>
      <c r="AA584" s="105"/>
      <c r="AB584" s="106"/>
      <c r="AC584" s="164"/>
      <c r="AD584" s="104"/>
      <c r="AE584" s="105"/>
      <c r="AF584" s="106"/>
      <c r="AI584" s="119" t="str">
        <f>"27:field232:" &amp; IF(I584="■",1,IF(M584="■",2,0))</f>
        <v>27:field232:0</v>
      </c>
    </row>
    <row r="585" spans="1:37" s="119" customFormat="1" ht="18.75" customHeight="1" x14ac:dyDescent="0.15">
      <c r="A585" s="107"/>
      <c r="B585" s="108"/>
      <c r="C585" s="224"/>
      <c r="D585" s="128" t="s">
        <v>348</v>
      </c>
      <c r="E585" s="111" t="s">
        <v>351</v>
      </c>
      <c r="F585" s="112"/>
      <c r="G585" s="113"/>
      <c r="H585" s="192" t="s">
        <v>395</v>
      </c>
      <c r="I585" s="148" t="s">
        <v>348</v>
      </c>
      <c r="J585" s="149" t="s">
        <v>216</v>
      </c>
      <c r="K585" s="149"/>
      <c r="L585" s="152" t="s">
        <v>348</v>
      </c>
      <c r="M585" s="149" t="s">
        <v>388</v>
      </c>
      <c r="N585" s="149"/>
      <c r="O585" s="152" t="s">
        <v>348</v>
      </c>
      <c r="P585" s="149" t="s">
        <v>396</v>
      </c>
      <c r="Q585" s="149"/>
      <c r="R585" s="149"/>
      <c r="S585" s="149"/>
      <c r="T585" s="149"/>
      <c r="U585" s="149"/>
      <c r="V585" s="150"/>
      <c r="W585" s="150"/>
      <c r="X585" s="159"/>
      <c r="Y585" s="147"/>
      <c r="Z585" s="105"/>
      <c r="AA585" s="105"/>
      <c r="AB585" s="106"/>
      <c r="AC585" s="147"/>
      <c r="AD585" s="105"/>
      <c r="AE585" s="105"/>
      <c r="AF585" s="106"/>
      <c r="AI585" s="119" t="str">
        <f>"27:yakankango_code:" &amp; IF(I585="■",1,IF(L585="■",3,IF(O585="■",2,0)))</f>
        <v>27:yakankango_code:0</v>
      </c>
    </row>
    <row r="586" spans="1:37" s="119" customFormat="1" ht="18.75" customHeight="1" x14ac:dyDescent="0.15">
      <c r="A586" s="128" t="s">
        <v>348</v>
      </c>
      <c r="B586" s="108">
        <v>27</v>
      </c>
      <c r="C586" s="224" t="s">
        <v>349</v>
      </c>
      <c r="D586" s="128" t="s">
        <v>348</v>
      </c>
      <c r="E586" s="111" t="s">
        <v>352</v>
      </c>
      <c r="F586" s="112"/>
      <c r="G586" s="113"/>
      <c r="H586" s="192" t="s">
        <v>167</v>
      </c>
      <c r="I586" s="148" t="s">
        <v>348</v>
      </c>
      <c r="J586" s="149" t="s">
        <v>216</v>
      </c>
      <c r="K586" s="150"/>
      <c r="L586" s="152" t="s">
        <v>348</v>
      </c>
      <c r="M586" s="149" t="s">
        <v>232</v>
      </c>
      <c r="N586" s="149"/>
      <c r="O586" s="150"/>
      <c r="P586" s="150"/>
      <c r="Q586" s="150"/>
      <c r="R586" s="150"/>
      <c r="S586" s="150"/>
      <c r="T586" s="150"/>
      <c r="U586" s="150"/>
      <c r="V586" s="150"/>
      <c r="W586" s="150"/>
      <c r="X586" s="159"/>
      <c r="Y586" s="147"/>
      <c r="Z586" s="105"/>
      <c r="AA586" s="105"/>
      <c r="AB586" s="106"/>
      <c r="AC586" s="147"/>
      <c r="AD586" s="105"/>
      <c r="AE586" s="105"/>
      <c r="AF586" s="106"/>
      <c r="AI586" s="119" t="str">
        <f>"27:jyakuninti_uke_code:" &amp; IF(I586="■",1,IF(L586="■",2,0))</f>
        <v>27:jyakuninti_uke_code:0</v>
      </c>
    </row>
    <row r="587" spans="1:37" s="119" customFormat="1" ht="18.75" customHeight="1" x14ac:dyDescent="0.15">
      <c r="A587" s="107"/>
      <c r="B587" s="108"/>
      <c r="C587" s="224" t="s">
        <v>362</v>
      </c>
      <c r="D587" s="128" t="s">
        <v>348</v>
      </c>
      <c r="E587" s="111" t="s">
        <v>354</v>
      </c>
      <c r="F587" s="112"/>
      <c r="G587" s="111"/>
      <c r="H587" s="230" t="s">
        <v>397</v>
      </c>
      <c r="I587" s="148" t="s">
        <v>348</v>
      </c>
      <c r="J587" s="149" t="s">
        <v>216</v>
      </c>
      <c r="K587" s="149"/>
      <c r="L587" s="152" t="s">
        <v>348</v>
      </c>
      <c r="M587" s="115" t="s">
        <v>232</v>
      </c>
      <c r="N587" s="149"/>
      <c r="O587" s="149"/>
      <c r="P587" s="149"/>
      <c r="Q587" s="150"/>
      <c r="R587" s="150"/>
      <c r="S587" s="150"/>
      <c r="T587" s="150"/>
      <c r="U587" s="150"/>
      <c r="V587" s="150"/>
      <c r="W587" s="150"/>
      <c r="X587" s="159"/>
      <c r="Y587" s="147"/>
      <c r="Z587" s="105"/>
      <c r="AA587" s="105"/>
      <c r="AB587" s="106"/>
      <c r="AC587" s="147"/>
      <c r="AD587" s="105"/>
      <c r="AE587" s="105"/>
      <c r="AF587" s="106"/>
      <c r="AI587" s="119" t="str">
        <f>"27:field226:" &amp; IF(I587="■",1,IF(L587="■",2,0))</f>
        <v>27:field226:0</v>
      </c>
    </row>
    <row r="588" spans="1:37" s="119" customFormat="1" ht="18.75" customHeight="1" x14ac:dyDescent="0.15">
      <c r="A588" s="107"/>
      <c r="B588" s="108"/>
      <c r="C588" s="224"/>
      <c r="D588" s="128" t="s">
        <v>348</v>
      </c>
      <c r="E588" s="111" t="s">
        <v>355</v>
      </c>
      <c r="F588" s="112"/>
      <c r="G588" s="111"/>
      <c r="H588" s="230" t="s">
        <v>398</v>
      </c>
      <c r="I588" s="148" t="s">
        <v>348</v>
      </c>
      <c r="J588" s="149" t="s">
        <v>216</v>
      </c>
      <c r="K588" s="149"/>
      <c r="L588" s="152" t="s">
        <v>348</v>
      </c>
      <c r="M588" s="115" t="s">
        <v>232</v>
      </c>
      <c r="N588" s="149"/>
      <c r="O588" s="149"/>
      <c r="P588" s="149"/>
      <c r="Q588" s="150"/>
      <c r="R588" s="150"/>
      <c r="S588" s="150"/>
      <c r="T588" s="150"/>
      <c r="U588" s="150"/>
      <c r="V588" s="150"/>
      <c r="W588" s="150"/>
      <c r="X588" s="159"/>
      <c r="Y588" s="147"/>
      <c r="Z588" s="105"/>
      <c r="AA588" s="105"/>
      <c r="AB588" s="106"/>
      <c r="AC588" s="147"/>
      <c r="AD588" s="105"/>
      <c r="AE588" s="105"/>
      <c r="AF588" s="106"/>
      <c r="AI588" s="119" t="str">
        <f>"27:field227:" &amp; IF(I588="■",1,IF(L588="■",2,0))</f>
        <v>27:field227:0</v>
      </c>
    </row>
    <row r="589" spans="1:37" s="119" customFormat="1" ht="18.75" customHeight="1" x14ac:dyDescent="0.15">
      <c r="A589" s="107"/>
      <c r="B589" s="108"/>
      <c r="C589" s="224"/>
      <c r="D589" s="239"/>
      <c r="E589" s="111"/>
      <c r="F589" s="112"/>
      <c r="G589" s="113"/>
      <c r="H589" s="240" t="s">
        <v>385</v>
      </c>
      <c r="I589" s="148" t="s">
        <v>348</v>
      </c>
      <c r="J589" s="149" t="s">
        <v>216</v>
      </c>
      <c r="K589" s="149"/>
      <c r="L589" s="152" t="s">
        <v>348</v>
      </c>
      <c r="M589" s="149" t="s">
        <v>217</v>
      </c>
      <c r="N589" s="149"/>
      <c r="O589" s="152" t="s">
        <v>348</v>
      </c>
      <c r="P589" s="149" t="s">
        <v>218</v>
      </c>
      <c r="Q589" s="154"/>
      <c r="R589" s="154"/>
      <c r="S589" s="154"/>
      <c r="T589" s="154"/>
      <c r="U589" s="241"/>
      <c r="V589" s="241"/>
      <c r="W589" s="241"/>
      <c r="X589" s="242"/>
      <c r="Y589" s="147"/>
      <c r="Z589" s="105"/>
      <c r="AA589" s="105"/>
      <c r="AB589" s="106"/>
      <c r="AC589" s="147"/>
      <c r="AD589" s="105"/>
      <c r="AE589" s="105"/>
      <c r="AF589" s="106"/>
      <c r="AI589" s="119" t="str">
        <f>"27:field225:" &amp; IF(I589="■",1,IF(L589="■",2,IF(O589="■",3,0)))</f>
        <v>27:field225:0</v>
      </c>
    </row>
    <row r="590" spans="1:37" s="119" customFormat="1" ht="18.75" customHeight="1" x14ac:dyDescent="0.15">
      <c r="A590" s="107"/>
      <c r="B590" s="108"/>
      <c r="C590" s="224"/>
      <c r="D590" s="239"/>
      <c r="E590" s="111"/>
      <c r="F590" s="112"/>
      <c r="G590" s="113"/>
      <c r="H590" s="227" t="s">
        <v>168</v>
      </c>
      <c r="I590" s="148" t="s">
        <v>348</v>
      </c>
      <c r="J590" s="149" t="s">
        <v>216</v>
      </c>
      <c r="K590" s="149"/>
      <c r="L590" s="152" t="s">
        <v>348</v>
      </c>
      <c r="M590" s="149" t="s">
        <v>224</v>
      </c>
      <c r="N590" s="149"/>
      <c r="O590" s="152" t="s">
        <v>348</v>
      </c>
      <c r="P590" s="149" t="s">
        <v>234</v>
      </c>
      <c r="Q590" s="196"/>
      <c r="R590" s="152" t="s">
        <v>348</v>
      </c>
      <c r="S590" s="149" t="s">
        <v>248</v>
      </c>
      <c r="T590" s="149"/>
      <c r="U590" s="149"/>
      <c r="V590" s="149"/>
      <c r="W590" s="149"/>
      <c r="X590" s="158"/>
      <c r="Y590" s="147"/>
      <c r="Z590" s="105"/>
      <c r="AA590" s="105"/>
      <c r="AB590" s="106"/>
      <c r="AC590" s="147"/>
      <c r="AD590" s="105"/>
      <c r="AE590" s="105"/>
      <c r="AF590" s="106"/>
      <c r="AI590" s="119" t="str">
        <f>"27:serteikyo_kyoka_code:" &amp; IF(I590="■",1,IF(L590="■",6,IF(O590="■",2,IF(R590="■",7,0))))</f>
        <v>27:serteikyo_kyoka_code:0</v>
      </c>
    </row>
    <row r="591" spans="1:37" s="119" customFormat="1" ht="18.75" customHeight="1" x14ac:dyDescent="0.15">
      <c r="A591" s="170"/>
      <c r="B591" s="171"/>
      <c r="C591" s="258"/>
      <c r="D591" s="173"/>
      <c r="E591" s="174"/>
      <c r="F591" s="175"/>
      <c r="G591" s="176"/>
      <c r="H591" s="95" t="s">
        <v>405</v>
      </c>
      <c r="I591" s="177" t="s">
        <v>348</v>
      </c>
      <c r="J591" s="96" t="s">
        <v>216</v>
      </c>
      <c r="K591" s="96"/>
      <c r="L591" s="178" t="s">
        <v>348</v>
      </c>
      <c r="M591" s="96" t="s">
        <v>373</v>
      </c>
      <c r="N591" s="97"/>
      <c r="O591" s="178" t="s">
        <v>348</v>
      </c>
      <c r="P591" s="99" t="s">
        <v>374</v>
      </c>
      <c r="Q591" s="98"/>
      <c r="R591" s="178" t="s">
        <v>348</v>
      </c>
      <c r="S591" s="96" t="s">
        <v>375</v>
      </c>
      <c r="T591" s="98"/>
      <c r="U591" s="178" t="s">
        <v>348</v>
      </c>
      <c r="V591" s="96" t="s">
        <v>376</v>
      </c>
      <c r="W591" s="100"/>
      <c r="X591" s="101"/>
      <c r="Y591" s="179"/>
      <c r="Z591" s="179"/>
      <c r="AA591" s="179"/>
      <c r="AB591" s="180"/>
      <c r="AC591" s="181"/>
      <c r="AD591" s="179"/>
      <c r="AE591" s="179"/>
      <c r="AF591" s="180"/>
      <c r="AI591" s="119" t="str">
        <f>"27:shoguukaizen_code:"&amp;IF(I591="■",1,IF(L591="■",7,IF(O591="■",8,IF(R591="■",9,IF(U591="■","A",0)))))</f>
        <v>27:shoguukaizen_code:0</v>
      </c>
    </row>
    <row r="592" spans="1:37" s="119" customFormat="1" ht="19.5" customHeight="1" x14ac:dyDescent="0.15">
      <c r="A592" s="107"/>
      <c r="B592" s="108"/>
      <c r="C592" s="109"/>
      <c r="D592" s="110"/>
      <c r="E592" s="111"/>
      <c r="F592" s="112"/>
      <c r="G592" s="113"/>
      <c r="H592" s="252" t="s">
        <v>390</v>
      </c>
      <c r="I592" s="143" t="s">
        <v>348</v>
      </c>
      <c r="J592" s="115" t="s">
        <v>360</v>
      </c>
      <c r="K592" s="166"/>
      <c r="L592" s="116"/>
      <c r="M592" s="191" t="s">
        <v>348</v>
      </c>
      <c r="N592" s="115" t="s">
        <v>370</v>
      </c>
      <c r="O592" s="236"/>
      <c r="P592" s="115"/>
      <c r="Q592" s="145"/>
      <c r="R592" s="145"/>
      <c r="S592" s="145"/>
      <c r="T592" s="145"/>
      <c r="U592" s="145"/>
      <c r="V592" s="145"/>
      <c r="W592" s="145"/>
      <c r="X592" s="146"/>
      <c r="Y592" s="128" t="s">
        <v>348</v>
      </c>
      <c r="Z592" s="104" t="s">
        <v>215</v>
      </c>
      <c r="AA592" s="105"/>
      <c r="AB592" s="106"/>
      <c r="AC592" s="384"/>
      <c r="AD592" s="385"/>
      <c r="AE592" s="385"/>
      <c r="AF592" s="386"/>
      <c r="AG592" s="119" t="str">
        <f>"ser_code = '" &amp; IF(A594="■",17,"") &amp; "'"</f>
        <v>ser_code = ''</v>
      </c>
      <c r="AI592" s="119" t="str">
        <f>"17:field232:" &amp; IF(I592="■",1,IF(M592="■",2,0))</f>
        <v>17:field232:0</v>
      </c>
      <c r="AJ592" s="119" t="str">
        <f>"17:field203:" &amp; IF(Y592="■",1,IF(Y593="■",2,0))</f>
        <v>17:field203:0</v>
      </c>
    </row>
    <row r="593" spans="1:36" s="119" customFormat="1" ht="18.75" customHeight="1" x14ac:dyDescent="0.15">
      <c r="A593" s="107"/>
      <c r="B593" s="108"/>
      <c r="C593" s="109"/>
      <c r="D593" s="110"/>
      <c r="E593" s="111"/>
      <c r="F593" s="112"/>
      <c r="G593" s="113"/>
      <c r="H593" s="215" t="s">
        <v>391</v>
      </c>
      <c r="I593" s="143" t="s">
        <v>348</v>
      </c>
      <c r="J593" s="115" t="s">
        <v>216</v>
      </c>
      <c r="K593" s="166"/>
      <c r="L593" s="191" t="s">
        <v>348</v>
      </c>
      <c r="M593" s="115" t="s">
        <v>232</v>
      </c>
      <c r="N593" s="166"/>
      <c r="O593" s="166"/>
      <c r="P593" s="166"/>
      <c r="Q593" s="166"/>
      <c r="R593" s="166"/>
      <c r="S593" s="166"/>
      <c r="T593" s="166"/>
      <c r="U593" s="166"/>
      <c r="V593" s="166"/>
      <c r="W593" s="166"/>
      <c r="X593" s="167"/>
      <c r="Y593" s="128" t="s">
        <v>348</v>
      </c>
      <c r="Z593" s="104" t="s">
        <v>221</v>
      </c>
      <c r="AA593" s="104"/>
      <c r="AB593" s="106"/>
      <c r="AC593" s="387"/>
      <c r="AD593" s="385"/>
      <c r="AE593" s="385"/>
      <c r="AF593" s="386"/>
      <c r="AI593" s="119" t="str">
        <f>"17:tokutiiki_code:" &amp; IF(I593="■",1,IF(L593="■",2,0))</f>
        <v>17:tokutiiki_code:0</v>
      </c>
    </row>
    <row r="594" spans="1:36" s="119" customFormat="1" ht="18.75" customHeight="1" x14ac:dyDescent="0.15">
      <c r="A594" s="128" t="s">
        <v>348</v>
      </c>
      <c r="B594" s="108">
        <v>17</v>
      </c>
      <c r="C594" s="109" t="s">
        <v>6</v>
      </c>
      <c r="D594" s="110"/>
      <c r="E594" s="111"/>
      <c r="F594" s="112"/>
      <c r="G594" s="113"/>
      <c r="H594" s="329" t="s">
        <v>180</v>
      </c>
      <c r="I594" s="342" t="s">
        <v>348</v>
      </c>
      <c r="J594" s="343" t="s">
        <v>222</v>
      </c>
      <c r="K594" s="343"/>
      <c r="L594" s="343"/>
      <c r="M594" s="342" t="s">
        <v>348</v>
      </c>
      <c r="N594" s="343" t="s">
        <v>223</v>
      </c>
      <c r="O594" s="343"/>
      <c r="P594" s="343"/>
      <c r="Q594" s="241"/>
      <c r="R594" s="241"/>
      <c r="S594" s="241"/>
      <c r="T594" s="241"/>
      <c r="U594" s="241"/>
      <c r="V594" s="241"/>
      <c r="W594" s="241"/>
      <c r="X594" s="242"/>
      <c r="Y594" s="147"/>
      <c r="Z594" s="104"/>
      <c r="AA594" s="105"/>
      <c r="AB594" s="106"/>
      <c r="AC594" s="387"/>
      <c r="AD594" s="385"/>
      <c r="AE594" s="385"/>
      <c r="AF594" s="386"/>
      <c r="AI594" s="119" t="str">
        <f>"17:chuusankanti_tiiki_code:" &amp; IF(I594="■",1,IF(M594="■",2,0))</f>
        <v>17:chuusankanti_tiiki_code:0</v>
      </c>
    </row>
    <row r="595" spans="1:36" s="119" customFormat="1" ht="18.75" customHeight="1" x14ac:dyDescent="0.15">
      <c r="A595" s="107"/>
      <c r="B595" s="108"/>
      <c r="C595" s="109"/>
      <c r="D595" s="110"/>
      <c r="E595" s="111"/>
      <c r="F595" s="112"/>
      <c r="G595" s="113"/>
      <c r="H595" s="328"/>
      <c r="I595" s="331"/>
      <c r="J595" s="333"/>
      <c r="K595" s="333"/>
      <c r="L595" s="333"/>
      <c r="M595" s="331"/>
      <c r="N595" s="333"/>
      <c r="O595" s="333"/>
      <c r="P595" s="333"/>
      <c r="Q595" s="166"/>
      <c r="R595" s="166"/>
      <c r="S595" s="166"/>
      <c r="T595" s="166"/>
      <c r="U595" s="166"/>
      <c r="V595" s="166"/>
      <c r="W595" s="166"/>
      <c r="X595" s="167"/>
      <c r="Y595" s="147"/>
      <c r="Z595" s="105"/>
      <c r="AA595" s="105"/>
      <c r="AB595" s="106"/>
      <c r="AC595" s="387"/>
      <c r="AD595" s="385"/>
      <c r="AE595" s="385"/>
      <c r="AF595" s="386"/>
    </row>
    <row r="596" spans="1:36" s="119" customFormat="1" ht="18.75" customHeight="1" x14ac:dyDescent="0.15">
      <c r="A596" s="107"/>
      <c r="B596" s="108"/>
      <c r="C596" s="109"/>
      <c r="D596" s="110"/>
      <c r="E596" s="111"/>
      <c r="F596" s="112"/>
      <c r="G596" s="113"/>
      <c r="H596" s="329" t="s">
        <v>181</v>
      </c>
      <c r="I596" s="354" t="s">
        <v>348</v>
      </c>
      <c r="J596" s="343" t="s">
        <v>222</v>
      </c>
      <c r="K596" s="343"/>
      <c r="L596" s="343"/>
      <c r="M596" s="342" t="s">
        <v>348</v>
      </c>
      <c r="N596" s="343" t="s">
        <v>223</v>
      </c>
      <c r="O596" s="343"/>
      <c r="P596" s="343"/>
      <c r="Q596" s="241"/>
      <c r="R596" s="241"/>
      <c r="S596" s="241"/>
      <c r="T596" s="241"/>
      <c r="U596" s="241"/>
      <c r="V596" s="241"/>
      <c r="W596" s="241"/>
      <c r="X596" s="242"/>
      <c r="Y596" s="147"/>
      <c r="Z596" s="105"/>
      <c r="AA596" s="105"/>
      <c r="AB596" s="106"/>
      <c r="AC596" s="387"/>
      <c r="AD596" s="385"/>
      <c r="AE596" s="385"/>
      <c r="AF596" s="386"/>
      <c r="AI596" s="119" t="str">
        <f>"17:chuusankanti_kibo_code:" &amp; IF(I596="■",1,IF(M596="■",2,0))</f>
        <v>17:chuusankanti_kibo_code:0</v>
      </c>
    </row>
    <row r="597" spans="1:36" s="119" customFormat="1" ht="18.75" customHeight="1" x14ac:dyDescent="0.15">
      <c r="A597" s="170"/>
      <c r="B597" s="171"/>
      <c r="C597" s="172"/>
      <c r="D597" s="173"/>
      <c r="E597" s="174"/>
      <c r="F597" s="175"/>
      <c r="G597" s="176"/>
      <c r="H597" s="350"/>
      <c r="I597" s="391"/>
      <c r="J597" s="380"/>
      <c r="K597" s="380"/>
      <c r="L597" s="380"/>
      <c r="M597" s="392"/>
      <c r="N597" s="380"/>
      <c r="O597" s="380"/>
      <c r="P597" s="380"/>
      <c r="Q597" s="259"/>
      <c r="R597" s="259"/>
      <c r="S597" s="259"/>
      <c r="T597" s="259"/>
      <c r="U597" s="259"/>
      <c r="V597" s="259"/>
      <c r="W597" s="259"/>
      <c r="X597" s="260"/>
      <c r="Y597" s="181"/>
      <c r="Z597" s="179"/>
      <c r="AA597" s="179"/>
      <c r="AB597" s="180"/>
      <c r="AC597" s="388"/>
      <c r="AD597" s="389"/>
      <c r="AE597" s="389"/>
      <c r="AF597" s="390"/>
    </row>
    <row r="598" spans="1:36" s="119" customFormat="1" ht="18.75" customHeight="1" x14ac:dyDescent="0.15">
      <c r="A598" s="130"/>
      <c r="B598" s="131"/>
      <c r="C598" s="132"/>
      <c r="D598" s="133"/>
      <c r="E598" s="126"/>
      <c r="F598" s="261"/>
      <c r="G598" s="135"/>
      <c r="H598" s="326" t="s">
        <v>399</v>
      </c>
      <c r="I598" s="381" t="s">
        <v>348</v>
      </c>
      <c r="J598" s="382" t="s">
        <v>216</v>
      </c>
      <c r="K598" s="382"/>
      <c r="L598" s="383" t="s">
        <v>348</v>
      </c>
      <c r="M598" s="382" t="s">
        <v>232</v>
      </c>
      <c r="N598" s="382"/>
      <c r="O598" s="382"/>
      <c r="P598" s="137"/>
      <c r="Q598" s="137"/>
      <c r="R598" s="137"/>
      <c r="S598" s="137"/>
      <c r="T598" s="137"/>
      <c r="U598" s="137"/>
      <c r="V598" s="137"/>
      <c r="W598" s="137"/>
      <c r="X598" s="138"/>
      <c r="Y598" s="140" t="s">
        <v>348</v>
      </c>
      <c r="Z598" s="124" t="s">
        <v>215</v>
      </c>
      <c r="AA598" s="124"/>
      <c r="AB598" s="139"/>
      <c r="AC598" s="363"/>
      <c r="AD598" s="363"/>
      <c r="AE598" s="363"/>
      <c r="AF598" s="363"/>
      <c r="AG598" s="119" t="str">
        <f>"ser_code = '" &amp; IF(A603="■",43,"") &amp; "'"</f>
        <v>ser_code = ''</v>
      </c>
      <c r="AI598" s="119" t="str">
        <f>"43:field213:" &amp; IF(I598="■",1,IF(L598="■",2,0))</f>
        <v>43:field213:0</v>
      </c>
      <c r="AJ598" s="119" t="str">
        <f>"43:field203:" &amp; IF(Y598="■",1,IF(Y599="■",2,0))</f>
        <v>43:field203:0</v>
      </c>
    </row>
    <row r="599" spans="1:36" s="119" customFormat="1" ht="18.75" customHeight="1" x14ac:dyDescent="0.15">
      <c r="A599" s="107"/>
      <c r="B599" s="108"/>
      <c r="C599" s="109"/>
      <c r="D599" s="110"/>
      <c r="E599" s="111"/>
      <c r="F599" s="262"/>
      <c r="G599" s="113"/>
      <c r="H599" s="327"/>
      <c r="I599" s="356"/>
      <c r="J599" s="332"/>
      <c r="K599" s="332"/>
      <c r="L599" s="357"/>
      <c r="M599" s="332"/>
      <c r="N599" s="332"/>
      <c r="O599" s="332"/>
      <c r="P599" s="263"/>
      <c r="Q599" s="263"/>
      <c r="R599" s="263"/>
      <c r="S599" s="263"/>
      <c r="T599" s="263"/>
      <c r="U599" s="263"/>
      <c r="V599" s="263"/>
      <c r="W599" s="263"/>
      <c r="X599" s="264"/>
      <c r="Y599" s="128" t="s">
        <v>348</v>
      </c>
      <c r="Z599" s="104" t="s">
        <v>221</v>
      </c>
      <c r="AA599" s="104"/>
      <c r="AB599" s="106"/>
      <c r="AC599" s="364"/>
      <c r="AD599" s="364"/>
      <c r="AE599" s="364"/>
      <c r="AF599" s="364"/>
    </row>
    <row r="600" spans="1:36" s="119" customFormat="1" ht="18.75" customHeight="1" x14ac:dyDescent="0.15">
      <c r="A600" s="107"/>
      <c r="B600" s="108"/>
      <c r="C600" s="109"/>
      <c r="D600" s="110"/>
      <c r="E600" s="111"/>
      <c r="F600" s="262"/>
      <c r="G600" s="264"/>
      <c r="H600" s="230" t="s">
        <v>90</v>
      </c>
      <c r="I600" s="148" t="s">
        <v>348</v>
      </c>
      <c r="J600" s="149" t="s">
        <v>216</v>
      </c>
      <c r="K600" s="150"/>
      <c r="L600" s="152" t="s">
        <v>348</v>
      </c>
      <c r="M600" s="149" t="s">
        <v>232</v>
      </c>
      <c r="N600" s="150"/>
      <c r="O600" s="150"/>
      <c r="P600" s="150"/>
      <c r="Q600" s="150"/>
      <c r="R600" s="150"/>
      <c r="S600" s="150"/>
      <c r="T600" s="150"/>
      <c r="U600" s="150"/>
      <c r="V600" s="150"/>
      <c r="W600" s="150"/>
      <c r="X600" s="159"/>
      <c r="Y600" s="105"/>
      <c r="Z600" s="104"/>
      <c r="AA600" s="105"/>
      <c r="AB600" s="106"/>
      <c r="AC600" s="365"/>
      <c r="AD600" s="365"/>
      <c r="AE600" s="365"/>
      <c r="AF600" s="365"/>
      <c r="AI600" s="119" t="str">
        <f>"43:tokutiiki_code:" &amp; IF(I600="■",1,IF(L600="■",2,0))</f>
        <v>43:tokutiiki_code:0</v>
      </c>
    </row>
    <row r="601" spans="1:36" s="119" customFormat="1" ht="18.75" customHeight="1" x14ac:dyDescent="0.15">
      <c r="A601" s="107"/>
      <c r="B601" s="108"/>
      <c r="C601" s="109"/>
      <c r="D601" s="110"/>
      <c r="E601" s="111"/>
      <c r="F601" s="262"/>
      <c r="G601" s="264"/>
      <c r="H601" s="329" t="s">
        <v>180</v>
      </c>
      <c r="I601" s="342" t="s">
        <v>348</v>
      </c>
      <c r="J601" s="343" t="s">
        <v>222</v>
      </c>
      <c r="K601" s="343"/>
      <c r="L601" s="343"/>
      <c r="M601" s="342" t="s">
        <v>348</v>
      </c>
      <c r="N601" s="343" t="s">
        <v>223</v>
      </c>
      <c r="O601" s="343"/>
      <c r="P601" s="343"/>
      <c r="Q601" s="241"/>
      <c r="R601" s="241"/>
      <c r="S601" s="241"/>
      <c r="T601" s="241"/>
      <c r="U601" s="241"/>
      <c r="V601" s="241"/>
      <c r="W601" s="241"/>
      <c r="X601" s="242"/>
      <c r="Y601" s="105"/>
      <c r="Z601" s="104"/>
      <c r="AA601" s="105"/>
      <c r="AB601" s="106"/>
      <c r="AC601" s="365"/>
      <c r="AD601" s="365"/>
      <c r="AE601" s="365"/>
      <c r="AF601" s="365"/>
      <c r="AI601" s="119" t="str">
        <f>"43:chuusankanti_tiiki_code:" &amp; IF(I601="■",1,IF(M601="■",2,0))</f>
        <v>43:chuusankanti_tiiki_code:0</v>
      </c>
    </row>
    <row r="602" spans="1:36" s="119" customFormat="1" ht="18.75" customHeight="1" x14ac:dyDescent="0.15">
      <c r="A602" s="107"/>
      <c r="B602" s="108"/>
      <c r="C602" s="109"/>
      <c r="D602" s="110"/>
      <c r="E602" s="111"/>
      <c r="F602" s="262"/>
      <c r="G602" s="264"/>
      <c r="H602" s="328"/>
      <c r="I602" s="331"/>
      <c r="J602" s="333"/>
      <c r="K602" s="333"/>
      <c r="L602" s="333"/>
      <c r="M602" s="331"/>
      <c r="N602" s="333"/>
      <c r="O602" s="333"/>
      <c r="P602" s="333"/>
      <c r="Q602" s="166"/>
      <c r="R602" s="166"/>
      <c r="S602" s="166"/>
      <c r="T602" s="166"/>
      <c r="U602" s="166"/>
      <c r="V602" s="166"/>
      <c r="W602" s="166"/>
      <c r="X602" s="167"/>
      <c r="Y602" s="147"/>
      <c r="Z602" s="105"/>
      <c r="AA602" s="105"/>
      <c r="AB602" s="106"/>
      <c r="AC602" s="365"/>
      <c r="AD602" s="365"/>
      <c r="AE602" s="365"/>
      <c r="AF602" s="365"/>
    </row>
    <row r="603" spans="1:36" s="119" customFormat="1" ht="18.75" customHeight="1" x14ac:dyDescent="0.15">
      <c r="A603" s="128" t="s">
        <v>348</v>
      </c>
      <c r="B603" s="108">
        <v>43</v>
      </c>
      <c r="C603" s="109" t="s">
        <v>363</v>
      </c>
      <c r="D603" s="110"/>
      <c r="E603" s="111"/>
      <c r="F603" s="262"/>
      <c r="G603" s="264"/>
      <c r="H603" s="329" t="s">
        <v>181</v>
      </c>
      <c r="I603" s="358" t="s">
        <v>348</v>
      </c>
      <c r="J603" s="359" t="s">
        <v>222</v>
      </c>
      <c r="K603" s="359"/>
      <c r="L603" s="359"/>
      <c r="M603" s="360" t="s">
        <v>348</v>
      </c>
      <c r="N603" s="343" t="s">
        <v>223</v>
      </c>
      <c r="O603" s="343"/>
      <c r="P603" s="343"/>
      <c r="Q603" s="241"/>
      <c r="R603" s="241"/>
      <c r="S603" s="241"/>
      <c r="T603" s="241"/>
      <c r="U603" s="241"/>
      <c r="V603" s="241"/>
      <c r="W603" s="241"/>
      <c r="X603" s="242"/>
      <c r="Y603" s="147"/>
      <c r="Z603" s="105"/>
      <c r="AA603" s="105"/>
      <c r="AB603" s="106"/>
      <c r="AC603" s="365"/>
      <c r="AD603" s="365"/>
      <c r="AE603" s="365"/>
      <c r="AF603" s="365"/>
      <c r="AI603" s="119" t="str">
        <f>"43:chuusankanti_kibo_code:" &amp; IF(I603="■",1,IF(M603="■",2,0))</f>
        <v>43:chuusankanti_kibo_code:0</v>
      </c>
    </row>
    <row r="604" spans="1:36" s="119" customFormat="1" ht="18.75" customHeight="1" x14ac:dyDescent="0.15">
      <c r="A604" s="107"/>
      <c r="B604" s="108"/>
      <c r="C604" s="109"/>
      <c r="D604" s="110"/>
      <c r="E604" s="111"/>
      <c r="F604" s="262"/>
      <c r="G604" s="264"/>
      <c r="H604" s="328"/>
      <c r="I604" s="358"/>
      <c r="J604" s="359"/>
      <c r="K604" s="359"/>
      <c r="L604" s="359"/>
      <c r="M604" s="360"/>
      <c r="N604" s="380"/>
      <c r="O604" s="380"/>
      <c r="P604" s="380"/>
      <c r="Q604" s="166"/>
      <c r="R604" s="166"/>
      <c r="S604" s="166"/>
      <c r="T604" s="166"/>
      <c r="U604" s="166"/>
      <c r="V604" s="166"/>
      <c r="W604" s="166"/>
      <c r="X604" s="167"/>
      <c r="Y604" s="147"/>
      <c r="Z604" s="105"/>
      <c r="AA604" s="105"/>
      <c r="AB604" s="106"/>
      <c r="AC604" s="365"/>
      <c r="AD604" s="365"/>
      <c r="AE604" s="365"/>
      <c r="AF604" s="365"/>
    </row>
    <row r="605" spans="1:36" s="119" customFormat="1" ht="18.75" customHeight="1" x14ac:dyDescent="0.15">
      <c r="A605" s="107"/>
      <c r="B605" s="108"/>
      <c r="C605" s="109"/>
      <c r="D605" s="110"/>
      <c r="E605" s="111"/>
      <c r="F605" s="262"/>
      <c r="G605" s="264"/>
      <c r="H605" s="230" t="s">
        <v>120</v>
      </c>
      <c r="I605" s="148" t="s">
        <v>348</v>
      </c>
      <c r="J605" s="149" t="s">
        <v>216</v>
      </c>
      <c r="K605" s="150"/>
      <c r="L605" s="152" t="s">
        <v>348</v>
      </c>
      <c r="M605" s="149" t="s">
        <v>232</v>
      </c>
      <c r="N605" s="150"/>
      <c r="O605" s="150"/>
      <c r="P605" s="150"/>
      <c r="Q605" s="150"/>
      <c r="R605" s="150"/>
      <c r="S605" s="150"/>
      <c r="T605" s="150"/>
      <c r="U605" s="150"/>
      <c r="V605" s="150"/>
      <c r="W605" s="150"/>
      <c r="X605" s="159"/>
      <c r="Y605" s="147"/>
      <c r="Z605" s="105"/>
      <c r="AA605" s="105"/>
      <c r="AB605" s="106"/>
      <c r="AC605" s="365"/>
      <c r="AD605" s="365"/>
      <c r="AE605" s="365"/>
      <c r="AF605" s="365"/>
      <c r="AI605" s="119" t="str">
        <f>"43:field162:" &amp; IF(I605="■",1,IF(L605="■",2,0))</f>
        <v>43:field162:0</v>
      </c>
    </row>
    <row r="606" spans="1:36" s="119" customFormat="1" ht="18.75" customHeight="1" x14ac:dyDescent="0.15">
      <c r="A606" s="107"/>
      <c r="B606" s="108"/>
      <c r="C606" s="109"/>
      <c r="D606" s="110"/>
      <c r="E606" s="111"/>
      <c r="F606" s="262"/>
      <c r="G606" s="264"/>
      <c r="H606" s="230" t="s">
        <v>64</v>
      </c>
      <c r="I606" s="148" t="s">
        <v>348</v>
      </c>
      <c r="J606" s="149" t="s">
        <v>216</v>
      </c>
      <c r="K606" s="149"/>
      <c r="L606" s="152" t="s">
        <v>348</v>
      </c>
      <c r="M606" s="149" t="s">
        <v>217</v>
      </c>
      <c r="N606" s="149"/>
      <c r="O606" s="152" t="s">
        <v>348</v>
      </c>
      <c r="P606" s="149" t="s">
        <v>218</v>
      </c>
      <c r="Q606" s="196"/>
      <c r="R606" s="152" t="s">
        <v>348</v>
      </c>
      <c r="S606" s="149" t="s">
        <v>219</v>
      </c>
      <c r="T606" s="150"/>
      <c r="U606" s="152" t="s">
        <v>348</v>
      </c>
      <c r="V606" s="149" t="s">
        <v>368</v>
      </c>
      <c r="W606" s="150"/>
      <c r="X606" s="159"/>
      <c r="Y606" s="147"/>
      <c r="Z606" s="105"/>
      <c r="AA606" s="105"/>
      <c r="AB606" s="106"/>
      <c r="AC606" s="365"/>
      <c r="AD606" s="365"/>
      <c r="AE606" s="365"/>
      <c r="AF606" s="365"/>
      <c r="AI606" s="119" t="str">
        <f>"43:tokuseibi_code:" &amp; IF(I606="■",1,IF(L606="■",2,IF(O606="■",3,IF(R606="■",4,IF(U606="■",5,0)))))</f>
        <v>43:tokuseibi_code:0</v>
      </c>
    </row>
    <row r="607" spans="1:36" s="119" customFormat="1" ht="18.75" customHeight="1" x14ac:dyDescent="0.15">
      <c r="A607" s="107"/>
      <c r="B607" s="108"/>
      <c r="C607" s="109"/>
      <c r="D607" s="110"/>
      <c r="E607" s="111"/>
      <c r="F607" s="262"/>
      <c r="G607" s="264"/>
      <c r="H607" s="157" t="s">
        <v>194</v>
      </c>
      <c r="I607" s="148" t="s">
        <v>348</v>
      </c>
      <c r="J607" s="149" t="s">
        <v>216</v>
      </c>
      <c r="K607" s="150"/>
      <c r="L607" s="152" t="s">
        <v>348</v>
      </c>
      <c r="M607" s="149" t="s">
        <v>232</v>
      </c>
      <c r="N607" s="150"/>
      <c r="O607" s="150"/>
      <c r="P607" s="150"/>
      <c r="Q607" s="150"/>
      <c r="R607" s="150"/>
      <c r="S607" s="150"/>
      <c r="T607" s="150"/>
      <c r="U607" s="150"/>
      <c r="V607" s="150"/>
      <c r="W607" s="150"/>
      <c r="X607" s="159"/>
      <c r="Y607" s="147"/>
      <c r="Z607" s="105"/>
      <c r="AA607" s="105"/>
      <c r="AB607" s="106"/>
      <c r="AC607" s="365"/>
      <c r="AD607" s="365"/>
      <c r="AE607" s="365"/>
      <c r="AF607" s="365"/>
      <c r="AI607" s="119" t="str">
        <f>"43:field192:" &amp; IF(I607="■",1,IF(L607="■",2,0))</f>
        <v>43:field192:0</v>
      </c>
    </row>
    <row r="608" spans="1:36" s="119" customFormat="1" ht="18.75" customHeight="1" x14ac:dyDescent="0.15">
      <c r="A608" s="170"/>
      <c r="B608" s="171"/>
      <c r="C608" s="172"/>
      <c r="D608" s="173"/>
      <c r="E608" s="174"/>
      <c r="F608" s="265"/>
      <c r="G608" s="260"/>
      <c r="H608" s="266" t="s">
        <v>131</v>
      </c>
      <c r="I608" s="177" t="s">
        <v>348</v>
      </c>
      <c r="J608" s="96" t="s">
        <v>216</v>
      </c>
      <c r="K608" s="218"/>
      <c r="L608" s="178" t="s">
        <v>348</v>
      </c>
      <c r="M608" s="96" t="s">
        <v>232</v>
      </c>
      <c r="N608" s="218"/>
      <c r="O608" s="218"/>
      <c r="P608" s="218"/>
      <c r="Q608" s="218"/>
      <c r="R608" s="218"/>
      <c r="S608" s="218"/>
      <c r="T608" s="218"/>
      <c r="U608" s="218"/>
      <c r="V608" s="218"/>
      <c r="W608" s="218"/>
      <c r="X608" s="267"/>
      <c r="Y608" s="181"/>
      <c r="Z608" s="179"/>
      <c r="AA608" s="179"/>
      <c r="AB608" s="180"/>
      <c r="AC608" s="366"/>
      <c r="AD608" s="366"/>
      <c r="AE608" s="366"/>
      <c r="AF608" s="366"/>
      <c r="AI608" s="119" t="str">
        <f>"43:field166:" &amp; IF(I608="■",1,IF(L608="■",2,0))</f>
        <v>43:field166:0</v>
      </c>
    </row>
    <row r="609" spans="1:32" s="119" customFormat="1" ht="20.25" customHeight="1" x14ac:dyDescent="0.15">
      <c r="A609" s="102"/>
      <c r="B609" s="102"/>
      <c r="C609" s="103"/>
      <c r="D609" s="103"/>
      <c r="E609" s="103"/>
      <c r="F609" s="103"/>
      <c r="G609" s="103"/>
      <c r="H609" s="103"/>
      <c r="I609" s="103"/>
      <c r="J609" s="103"/>
      <c r="K609" s="103"/>
      <c r="L609" s="103"/>
      <c r="M609" s="103"/>
      <c r="N609" s="103"/>
      <c r="O609" s="103"/>
      <c r="P609" s="103"/>
      <c r="Q609" s="103"/>
      <c r="R609" s="103"/>
      <c r="S609" s="103"/>
      <c r="T609" s="103"/>
      <c r="U609" s="103"/>
      <c r="V609" s="103"/>
      <c r="W609" s="103"/>
      <c r="X609" s="103"/>
      <c r="Y609" s="103"/>
      <c r="Z609" s="103"/>
      <c r="AA609" s="103"/>
      <c r="AB609" s="103"/>
      <c r="AC609" s="103"/>
      <c r="AD609" s="103"/>
      <c r="AE609" s="103"/>
      <c r="AF609" s="103"/>
    </row>
  </sheetData>
  <mergeCells count="375">
    <mergeCell ref="H470:H471"/>
    <mergeCell ref="AC470:AF490"/>
    <mergeCell ref="H472:H473"/>
    <mergeCell ref="H488:H489"/>
    <mergeCell ref="I488:I489"/>
    <mergeCell ref="J488:K489"/>
    <mergeCell ref="L488:L489"/>
    <mergeCell ref="M488:N489"/>
    <mergeCell ref="AC275:AF293"/>
    <mergeCell ref="H276:H277"/>
    <mergeCell ref="H291:H292"/>
    <mergeCell ref="I291:I292"/>
    <mergeCell ref="J291:K292"/>
    <mergeCell ref="L291:L292"/>
    <mergeCell ref="M291:N292"/>
    <mergeCell ref="H450:H451"/>
    <mergeCell ref="AC450:AF469"/>
    <mergeCell ref="H452:H453"/>
    <mergeCell ref="H467:H468"/>
    <mergeCell ref="I467:I468"/>
    <mergeCell ref="J467:K468"/>
    <mergeCell ref="L467:L468"/>
    <mergeCell ref="M467:N468"/>
    <mergeCell ref="H425:H426"/>
    <mergeCell ref="AC188:AF207"/>
    <mergeCell ref="H189:H190"/>
    <mergeCell ref="H205:H206"/>
    <mergeCell ref="I205:I206"/>
    <mergeCell ref="J205:K206"/>
    <mergeCell ref="L205:L206"/>
    <mergeCell ref="M205:N206"/>
    <mergeCell ref="N603:P604"/>
    <mergeCell ref="AC598:AF608"/>
    <mergeCell ref="H601:H602"/>
    <mergeCell ref="I601:I602"/>
    <mergeCell ref="J601:L602"/>
    <mergeCell ref="M601:M602"/>
    <mergeCell ref="N601:P602"/>
    <mergeCell ref="H603:H604"/>
    <mergeCell ref="I603:I604"/>
    <mergeCell ref="J603:L604"/>
    <mergeCell ref="M603:M604"/>
    <mergeCell ref="N596:P597"/>
    <mergeCell ref="H598:H599"/>
    <mergeCell ref="I598:I599"/>
    <mergeCell ref="J598:K599"/>
    <mergeCell ref="L598:L599"/>
    <mergeCell ref="M598:O599"/>
    <mergeCell ref="AC592:AF597"/>
    <mergeCell ref="H594:H595"/>
    <mergeCell ref="I594:I595"/>
    <mergeCell ref="J594:L595"/>
    <mergeCell ref="M594:M595"/>
    <mergeCell ref="N594:P595"/>
    <mergeCell ref="H596:H597"/>
    <mergeCell ref="I596:I597"/>
    <mergeCell ref="J596:L597"/>
    <mergeCell ref="M596:M597"/>
    <mergeCell ref="H541:H542"/>
    <mergeCell ref="AC541:AF561"/>
    <mergeCell ref="H543:H544"/>
    <mergeCell ref="H559:H560"/>
    <mergeCell ref="I559:I560"/>
    <mergeCell ref="J559:K560"/>
    <mergeCell ref="L559:L560"/>
    <mergeCell ref="M559:N560"/>
    <mergeCell ref="H516:H517"/>
    <mergeCell ref="AC516:AF540"/>
    <mergeCell ref="H518:H519"/>
    <mergeCell ref="H532:H533"/>
    <mergeCell ref="H534:H535"/>
    <mergeCell ref="H538:H539"/>
    <mergeCell ref="I538:I539"/>
    <mergeCell ref="J538:K539"/>
    <mergeCell ref="L538:L539"/>
    <mergeCell ref="M538:N539"/>
    <mergeCell ref="H491:H492"/>
    <mergeCell ref="AC491:AF515"/>
    <mergeCell ref="H493:H494"/>
    <mergeCell ref="H507:H508"/>
    <mergeCell ref="H509:H510"/>
    <mergeCell ref="H513:H514"/>
    <mergeCell ref="I513:I514"/>
    <mergeCell ref="J513:K514"/>
    <mergeCell ref="L513:L514"/>
    <mergeCell ref="M513:N514"/>
    <mergeCell ref="AC425:AF449"/>
    <mergeCell ref="H427:H428"/>
    <mergeCell ref="H441:H442"/>
    <mergeCell ref="H443:H444"/>
    <mergeCell ref="H447:H448"/>
    <mergeCell ref="I447:I448"/>
    <mergeCell ref="J447:K448"/>
    <mergeCell ref="L447:L448"/>
    <mergeCell ref="M447:N448"/>
    <mergeCell ref="H401:H402"/>
    <mergeCell ref="AC401:AF424"/>
    <mergeCell ref="H403:H404"/>
    <mergeCell ref="H416:H417"/>
    <mergeCell ref="H418:H419"/>
    <mergeCell ref="H422:H423"/>
    <mergeCell ref="I422:I423"/>
    <mergeCell ref="J422:K423"/>
    <mergeCell ref="L422:L423"/>
    <mergeCell ref="M422:N423"/>
    <mergeCell ref="AC381:AF400"/>
    <mergeCell ref="H393:H394"/>
    <mergeCell ref="H395:H396"/>
    <mergeCell ref="H398:H399"/>
    <mergeCell ref="I398:I399"/>
    <mergeCell ref="J398:K399"/>
    <mergeCell ref="L398:L399"/>
    <mergeCell ref="M398:N399"/>
    <mergeCell ref="AC362:AF380"/>
    <mergeCell ref="H372:H373"/>
    <mergeCell ref="H375:H376"/>
    <mergeCell ref="H378:H379"/>
    <mergeCell ref="I378:I379"/>
    <mergeCell ref="J378:K379"/>
    <mergeCell ref="L378:L379"/>
    <mergeCell ref="M378:N379"/>
    <mergeCell ref="H339:H340"/>
    <mergeCell ref="AC339:AF361"/>
    <mergeCell ref="H354:H355"/>
    <mergeCell ref="H356:H357"/>
    <mergeCell ref="H359:H360"/>
    <mergeCell ref="I359:I360"/>
    <mergeCell ref="J359:K360"/>
    <mergeCell ref="L359:L360"/>
    <mergeCell ref="M359:N360"/>
    <mergeCell ref="H316:H317"/>
    <mergeCell ref="AC316:AF338"/>
    <mergeCell ref="H331:H332"/>
    <mergeCell ref="H333:H334"/>
    <mergeCell ref="H336:H337"/>
    <mergeCell ref="I336:I337"/>
    <mergeCell ref="J336:K337"/>
    <mergeCell ref="L336:L337"/>
    <mergeCell ref="M336:N337"/>
    <mergeCell ref="H294:H295"/>
    <mergeCell ref="AC294:AF315"/>
    <mergeCell ref="H308:H309"/>
    <mergeCell ref="H310:H311"/>
    <mergeCell ref="H313:H314"/>
    <mergeCell ref="I313:I314"/>
    <mergeCell ref="J313:K314"/>
    <mergeCell ref="L313:L314"/>
    <mergeCell ref="M313:N314"/>
    <mergeCell ref="AC255:AF274"/>
    <mergeCell ref="H256:H257"/>
    <mergeCell ref="H272:H273"/>
    <mergeCell ref="I272:I273"/>
    <mergeCell ref="J272:K273"/>
    <mergeCell ref="L272:L273"/>
    <mergeCell ref="M272:N273"/>
    <mergeCell ref="AC208:AF231"/>
    <mergeCell ref="H209:H210"/>
    <mergeCell ref="H229:H230"/>
    <mergeCell ref="I229:I230"/>
    <mergeCell ref="J229:K230"/>
    <mergeCell ref="L229:L230"/>
    <mergeCell ref="M229:N230"/>
    <mergeCell ref="AC232:AF254"/>
    <mergeCell ref="H233:H234"/>
    <mergeCell ref="H252:H253"/>
    <mergeCell ref="I252:I253"/>
    <mergeCell ref="J252:K253"/>
    <mergeCell ref="L252:L253"/>
    <mergeCell ref="M252:N253"/>
    <mergeCell ref="AC167:AF187"/>
    <mergeCell ref="H168:H169"/>
    <mergeCell ref="H185:H186"/>
    <mergeCell ref="I185:I186"/>
    <mergeCell ref="J185:K186"/>
    <mergeCell ref="L185:L186"/>
    <mergeCell ref="M185:N186"/>
    <mergeCell ref="P162:Q163"/>
    <mergeCell ref="R162:R163"/>
    <mergeCell ref="S162:T163"/>
    <mergeCell ref="H164:H165"/>
    <mergeCell ref="I164:I165"/>
    <mergeCell ref="J164:K165"/>
    <mergeCell ref="L164:L165"/>
    <mergeCell ref="M164:N165"/>
    <mergeCell ref="O160:O161"/>
    <mergeCell ref="P160:Q161"/>
    <mergeCell ref="R160:R161"/>
    <mergeCell ref="S160:T161"/>
    <mergeCell ref="H162:H163"/>
    <mergeCell ref="I162:I163"/>
    <mergeCell ref="J162:K163"/>
    <mergeCell ref="L162:L163"/>
    <mergeCell ref="M162:N163"/>
    <mergeCell ref="O162:O163"/>
    <mergeCell ref="H152:H153"/>
    <mergeCell ref="I152:I153"/>
    <mergeCell ref="J152:K153"/>
    <mergeCell ref="L152:L153"/>
    <mergeCell ref="M152:N153"/>
    <mergeCell ref="H160:H161"/>
    <mergeCell ref="I160:I161"/>
    <mergeCell ref="J160:K161"/>
    <mergeCell ref="L160:L161"/>
    <mergeCell ref="M160:N161"/>
    <mergeCell ref="L123:L124"/>
    <mergeCell ref="M123:N124"/>
    <mergeCell ref="H141:H142"/>
    <mergeCell ref="I141:I142"/>
    <mergeCell ref="J141:K142"/>
    <mergeCell ref="L141:L142"/>
    <mergeCell ref="M141:N142"/>
    <mergeCell ref="H112:H113"/>
    <mergeCell ref="AC112:AF134"/>
    <mergeCell ref="H116:H118"/>
    <mergeCell ref="I116:I118"/>
    <mergeCell ref="J116:K118"/>
    <mergeCell ref="L116:L118"/>
    <mergeCell ref="M116:N118"/>
    <mergeCell ref="H123:H124"/>
    <mergeCell ref="I123:I124"/>
    <mergeCell ref="J123:K124"/>
    <mergeCell ref="H95:H96"/>
    <mergeCell ref="I95:I96"/>
    <mergeCell ref="J95:K96"/>
    <mergeCell ref="L95:L96"/>
    <mergeCell ref="M95:N96"/>
    <mergeCell ref="H97:H98"/>
    <mergeCell ref="I97:I98"/>
    <mergeCell ref="J97:K98"/>
    <mergeCell ref="L97:L98"/>
    <mergeCell ref="M97:N98"/>
    <mergeCell ref="H91:H92"/>
    <mergeCell ref="I91:I92"/>
    <mergeCell ref="J91:K92"/>
    <mergeCell ref="L91:L92"/>
    <mergeCell ref="M91:N92"/>
    <mergeCell ref="H93:H94"/>
    <mergeCell ref="I93:I94"/>
    <mergeCell ref="J93:K94"/>
    <mergeCell ref="L93:L94"/>
    <mergeCell ref="M93:N94"/>
    <mergeCell ref="N80:P81"/>
    <mergeCell ref="H87:H89"/>
    <mergeCell ref="I87:I89"/>
    <mergeCell ref="J87:K89"/>
    <mergeCell ref="L87:L89"/>
    <mergeCell ref="M87:N89"/>
    <mergeCell ref="AC77:AF83"/>
    <mergeCell ref="H78:H79"/>
    <mergeCell ref="I78:I79"/>
    <mergeCell ref="J78:L79"/>
    <mergeCell ref="M78:M79"/>
    <mergeCell ref="N78:P79"/>
    <mergeCell ref="H80:H81"/>
    <mergeCell ref="I80:I81"/>
    <mergeCell ref="J80:L81"/>
    <mergeCell ref="M80:M81"/>
    <mergeCell ref="M69:M70"/>
    <mergeCell ref="N69:P70"/>
    <mergeCell ref="H72:H73"/>
    <mergeCell ref="I72:I73"/>
    <mergeCell ref="J72:K73"/>
    <mergeCell ref="L72:L73"/>
    <mergeCell ref="M72:N73"/>
    <mergeCell ref="H61:H63"/>
    <mergeCell ref="AC64:AF76"/>
    <mergeCell ref="H67:H68"/>
    <mergeCell ref="I67:I68"/>
    <mergeCell ref="J67:L68"/>
    <mergeCell ref="M67:M68"/>
    <mergeCell ref="N67:P68"/>
    <mergeCell ref="H69:H70"/>
    <mergeCell ref="I69:I70"/>
    <mergeCell ref="J69:L70"/>
    <mergeCell ref="AC47:AF63"/>
    <mergeCell ref="N50:P51"/>
    <mergeCell ref="H52:H53"/>
    <mergeCell ref="I52:I53"/>
    <mergeCell ref="J52:L53"/>
    <mergeCell ref="M52:M53"/>
    <mergeCell ref="N52:P53"/>
    <mergeCell ref="H41:H42"/>
    <mergeCell ref="I41:I42"/>
    <mergeCell ref="J41:L42"/>
    <mergeCell ref="M41:M42"/>
    <mergeCell ref="N41:P42"/>
    <mergeCell ref="H50:H51"/>
    <mergeCell ref="I50:I51"/>
    <mergeCell ref="J50:L51"/>
    <mergeCell ref="M50:M51"/>
    <mergeCell ref="H31:H32"/>
    <mergeCell ref="I31:I32"/>
    <mergeCell ref="J31:L32"/>
    <mergeCell ref="M31:M32"/>
    <mergeCell ref="N31:P32"/>
    <mergeCell ref="H39:H40"/>
    <mergeCell ref="I39:I40"/>
    <mergeCell ref="J39:L40"/>
    <mergeCell ref="M39:M40"/>
    <mergeCell ref="N39:P40"/>
    <mergeCell ref="H26:H27"/>
    <mergeCell ref="I26:I27"/>
    <mergeCell ref="J26:L27"/>
    <mergeCell ref="M26:M27"/>
    <mergeCell ref="N26:P27"/>
    <mergeCell ref="W26:W27"/>
    <mergeCell ref="X26:X27"/>
    <mergeCell ref="H29:H30"/>
    <mergeCell ref="I29:I30"/>
    <mergeCell ref="J29:L30"/>
    <mergeCell ref="M29:M30"/>
    <mergeCell ref="N29:P30"/>
    <mergeCell ref="Q26:Q27"/>
    <mergeCell ref="R26:R27"/>
    <mergeCell ref="S26:S27"/>
    <mergeCell ref="T26:T27"/>
    <mergeCell ref="U26:U27"/>
    <mergeCell ref="V26:V27"/>
    <mergeCell ref="W22:W23"/>
    <mergeCell ref="X22:X23"/>
    <mergeCell ref="H24:H25"/>
    <mergeCell ref="I24:I25"/>
    <mergeCell ref="J24:L25"/>
    <mergeCell ref="M24:M25"/>
    <mergeCell ref="N24:P25"/>
    <mergeCell ref="Q24:Q25"/>
    <mergeCell ref="R24:R25"/>
    <mergeCell ref="S24:S25"/>
    <mergeCell ref="Q22:Q23"/>
    <mergeCell ref="R22:R23"/>
    <mergeCell ref="S22:S23"/>
    <mergeCell ref="T22:T23"/>
    <mergeCell ref="U22:U23"/>
    <mergeCell ref="V22:V23"/>
    <mergeCell ref="T24:T25"/>
    <mergeCell ref="U24:U25"/>
    <mergeCell ref="V24:V25"/>
    <mergeCell ref="W24:W25"/>
    <mergeCell ref="X24:X25"/>
    <mergeCell ref="H20:H21"/>
    <mergeCell ref="I20:I21"/>
    <mergeCell ref="J20:K21"/>
    <mergeCell ref="L20:L21"/>
    <mergeCell ref="M20:N21"/>
    <mergeCell ref="H22:H23"/>
    <mergeCell ref="I22:I23"/>
    <mergeCell ref="J22:L23"/>
    <mergeCell ref="M22:M23"/>
    <mergeCell ref="N22:P23"/>
    <mergeCell ref="H11:H13"/>
    <mergeCell ref="H18:H19"/>
    <mergeCell ref="I18:I19"/>
    <mergeCell ref="J18:K19"/>
    <mergeCell ref="L18:L19"/>
    <mergeCell ref="M18:N19"/>
    <mergeCell ref="A9:C10"/>
    <mergeCell ref="D9:E10"/>
    <mergeCell ref="F9:G10"/>
    <mergeCell ref="H9:H10"/>
    <mergeCell ref="Y9:AB10"/>
    <mergeCell ref="AC9:AF10"/>
    <mergeCell ref="A3:AF3"/>
    <mergeCell ref="A8:C8"/>
    <mergeCell ref="D8:E8"/>
    <mergeCell ref="F8:G8"/>
    <mergeCell ref="H8:X8"/>
    <mergeCell ref="Y8:AB8"/>
    <mergeCell ref="AC8:AF8"/>
    <mergeCell ref="I5:M5"/>
    <mergeCell ref="N5:W5"/>
    <mergeCell ref="X5:Z5"/>
    <mergeCell ref="AA5:AF5"/>
    <mergeCell ref="I6:M6"/>
    <mergeCell ref="N6:W6"/>
    <mergeCell ref="X6:Z6"/>
  </mergeCells>
  <phoneticPr fontId="1"/>
  <conditionalFormatting sqref="A1:AF4 A7:AF1048576">
    <cfRule type="expression" dxfId="9" priority="2">
      <formula>CELL("protect",A1)=0</formula>
    </cfRule>
  </conditionalFormatting>
  <dataValidations count="1">
    <dataValidation type="list" allowBlank="1" showInputMessage="1" showErrorMessage="1" sqref="Q9:Q10 U9:U10 Y11:Y12 AC11:AC12 M14:M15 R16 M55 Q136 R160:R163 Y208:Y209 Y255:Y256 Y294:Y295 Y316:Y317 Y339:Y340 Y401:Y402 Y425:Y426 Y450:Y451 Y491:Y492 Y516:Y517 Y541:Y542 M84:M86 Y135:Y136 O76 O54 A70 M50:M53 AC84:AC85 L87:L89 O45:O46 O100 O102 Q112:Q113 D97:D99 O34:O35 L116:L118 O121 U122 D69:D71 O158:O163 O144 O147:O148 Q168:Q169 Y167:Y168 L175:L178 U168 O182:O184 Q209:Q210 U209 N217 S217 L216 M220 O226:O228 R228 Q256:Q257 U256 P221 O269:O271 U296 Q294 O306:O307 P308 M310 Q310:Q311 O312 R312 Q316 Q318 U318 F308 M326 P331 O329:O330 M333 O335 R335 Q333:Q334 Q341 Q339 U341 O352:O353 P354 M356 Q356:Q357 O358 R358 L367 O371 P372 M375 Q375:Q376 O377 R377 L387 P393 M395 O391:O392 O397 R397 Q401 Q395:Q396 M411 O414:O415 P416 M418 O420:O421 R421 Q425 Q427 L435 L437:L440 O439:O440 P441 M443 O445:O446 R446 Q450 Q452 L459 R466 Q491 Q493 L501 L503:L506 O505:O506 P507 M509 R512 O511:O512 Q516 Q518 L526 L528:L531 O530:O531 P532 M534 R537 O536:O537 M562:M565 Q541 Q543 L551 D551 R558 A98 L91:L111 F177:F178 M155 D119:D127 F304 O166 D459 O566 F325 L325 F327 L350:L353 F329 L374 A350 F368 L389:L392 O561 F412:F414 A283 A459 M516:M525 D503 D528 A551 D54:D56 Y77:Y78 A150 A219 L120:L121 A327 O589:O591 A503 F551:F552 A570 Y562:Y563 Q562 O568 AC562:AC563 L123:L134 M594:M597 L598:L600 O606 R606 U606 F392 D568:D573 M601:M604 AC581:AC582 Q151 O59 O571 M119 Q71 O125 L141:L154 R184 R271 D149:D152 M266 Q418:Q419 Q443:Q444 O463:O466 Q509:Q510 Q534:Q535 O555:O558 M303 L302 L327:L330 M294:M301 L369:L371 Y381:Y382 F370 M552 L82:L83 R35 L54 O575 L43:L46 M67:M71 L72:L77 L348 O374 Q122 O178 A177 M36:M37 M349 M368 M388 L410 M436 M491:M500 M460 M502 M527 O585 L156:L166 R361 R380 R515 L605:L608 A528 F302 F310 R207 U35 M64:M65 P103 Y47:Y48 Y112:Y113 M122 R133:R134 A413 AC135:AC136 O110:O111 F374 M179 L218:L219 R110:R111 O133:O134 L263:L265 U166 O187 O231 U293:U294 L180:L187 U231 L222:L231 D350:D351 R315 O315 L335:L338 O338 O361 R424 R400 U361 O380 O400 L420:L424 O424 L445:L449 R449 O515 O449 O469 U490:U491 L511:L515 A603 M9:M10 U16 L16:L21 M22:M27 L28 M29:M32 L33:L35 L38 M39:M42 O43 L49 L304:L307 L56:L60 Q61:Q62 L66 A55 Y362:Y363 A41 A80 M78:M81 M112:M115 Q84 Y84:Y85 M90 M135:M140 U111:U112 L412:L415 Q403 L593 A594 Y598:Y599 U46 U134 U187 L267:L274 L358:L361 L397:L400 R469 U515:U516 R590:R591 L585:L591 O540 U540:U541 L566:L580 L553:L561 Y581:Y582 Y592:Y593 M592 Q581 M339:M347 M362:M366 F350:F351 U315:U316 U400:U401 U424:U425 U449:U450 U591 U580 Y64:Y65 L312:L315 U338:U339 F372 U380 U561 R579:R580 O16 A23 Y36:Y37 AC36:AC37 R45:R46 R166 R274 R338 L377:L380 L536:L540 R540 R561 Q296 R254 O293 M316:M324 M381:M386 F388 M401:M409 D283 M450:M458 M581:M584 D22:D24 M47:M48 A123 D305 A305 F306 F300 D327 D371 A371 D390 F390 A390 D413 M425:M434 F436:F438 L482:L490 F503:F504 M541:M550 F569:F570 A586 D585:D588 O578:O580 D177 R187 Q189:Q190 Y188:Y189 L195:L198 U189 O202:O204 M188:M194 M167:M174 R204 O198 A197 F197:F198 M199 O207 L200:L207 U207 D197 D218:D219 R231 Y232:Y233 Q233:Q234 U233 N240 S240 L239 M243 O249:O251 R251 P244 A242 L241:L242 O254 U254 L245:L254 M208:M215 D242:D243 M255:M262 U274 O274 Y275:Y276 Q276:Q277 U276 A264 O288:O290 R290 M275:M281 M285 L282:L284 L286:L293 R293 D264 M232:M238 A437 D437 U469:U470 L461:L469 Y470:Y471 Q470 Q472 L480 R487 D480 A480 O484:O487 M481 O490 R490 F480 F459 M470:M479 I9:I608"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9" manualBreakCount="29">
    <brk id="35" max="16383" man="1"/>
    <brk id="46" max="16383" man="1"/>
    <brk id="63" max="16383" man="1"/>
    <brk id="76" max="16383" man="1"/>
    <brk id="83" max="16383" man="1"/>
    <brk id="111" max="16383" man="1"/>
    <brk id="134" max="16383" man="1"/>
    <brk id="166" max="16383" man="1"/>
    <brk id="187" max="16383" man="1"/>
    <brk id="207" max="31" man="1"/>
    <brk id="231" max="16383" man="1"/>
    <brk id="254" max="16383" man="1"/>
    <brk id="274" max="16383" man="1"/>
    <brk id="293" max="16383" man="1"/>
    <brk id="315" max="16383" man="1"/>
    <brk id="338" max="16383" man="1"/>
    <brk id="361" max="16383" man="1"/>
    <brk id="380" max="16383" man="1"/>
    <brk id="400" max="16383" man="1"/>
    <brk id="424" max="16383" man="1"/>
    <brk id="449" max="16383" man="1"/>
    <brk id="469" max="16383" man="1"/>
    <brk id="490" max="16383" man="1"/>
    <brk id="515" max="16383" man="1"/>
    <brk id="540" max="16383" man="1"/>
    <brk id="561" max="31" man="1"/>
    <brk id="580" max="16383" man="1"/>
    <brk id="591" max="16383" man="1"/>
    <brk id="597" max="16383" man="1"/>
  </rowBreaks>
  <extLst>
    <ext xmlns:x14="http://schemas.microsoft.com/office/spreadsheetml/2009/9/main" uri="{78C0D931-6437-407d-A8EE-F0AAD7539E65}">
      <x14:conditionalFormattings>
        <x14:conditionalFormatting xmlns:xm="http://schemas.microsoft.com/office/excel/2006/main">
          <x14:cfRule type="expression" priority="1"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91198-5744-48A6-9022-EBECD19C45E5}">
  <sheetPr>
    <pageSetUpPr fitToPage="1"/>
  </sheetPr>
  <dimension ref="A2:AL18"/>
  <sheetViews>
    <sheetView view="pageBreakPreview" zoomScale="70" zoomScaleNormal="75" zoomScaleSheetLayoutView="70" workbookViewId="0"/>
  </sheetViews>
  <sheetFormatPr defaultRowHeight="13.5" x14ac:dyDescent="0.15"/>
  <cols>
    <col min="1" max="2" width="4.25" style="102"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375" style="103" customWidth="1"/>
    <col min="25" max="32" width="4.875" style="103" customWidth="1"/>
    <col min="33" max="37" width="0" style="119" hidden="1" customWidth="1"/>
    <col min="38" max="38" width="9" style="119"/>
    <col min="39" max="16384" width="9" style="103"/>
  </cols>
  <sheetData>
    <row r="2" spans="1:38" ht="20.25" customHeight="1" x14ac:dyDescent="0.15">
      <c r="A2" s="117" t="s">
        <v>557</v>
      </c>
      <c r="B2" s="118"/>
    </row>
    <row r="3" spans="1:38" s="119" customFormat="1" ht="21.75" customHeight="1" x14ac:dyDescent="0.15">
      <c r="A3" s="317" t="s">
        <v>564</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8" s="119" customFormat="1" ht="20.25" customHeight="1" x14ac:dyDescent="0.15">
      <c r="A4" s="102"/>
      <c r="B4" s="102"/>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19" t="s">
        <v>556</v>
      </c>
    </row>
    <row r="5" spans="1:38" ht="27" customHeight="1" x14ac:dyDescent="0.15">
      <c r="I5" s="321" t="s">
        <v>560</v>
      </c>
      <c r="J5" s="321"/>
      <c r="K5" s="321"/>
      <c r="L5" s="321"/>
      <c r="M5" s="321"/>
      <c r="N5" s="321"/>
      <c r="O5" s="321"/>
      <c r="P5" s="321"/>
      <c r="Q5" s="321"/>
      <c r="R5" s="321"/>
      <c r="S5" s="321"/>
      <c r="T5" s="321"/>
      <c r="U5" s="321"/>
      <c r="V5" s="321"/>
      <c r="W5" s="321"/>
      <c r="X5" s="319" t="s">
        <v>84</v>
      </c>
      <c r="Y5" s="319"/>
      <c r="Z5" s="320"/>
      <c r="AA5" s="322" t="s">
        <v>561</v>
      </c>
      <c r="AB5" s="323"/>
      <c r="AC5" s="323"/>
      <c r="AD5" s="323"/>
      <c r="AE5" s="323"/>
      <c r="AF5" s="324"/>
      <c r="AG5" s="103"/>
      <c r="AH5" s="103"/>
      <c r="AI5" s="103"/>
      <c r="AJ5" s="103"/>
      <c r="AK5" s="103"/>
      <c r="AL5" s="103"/>
    </row>
    <row r="6" spans="1:38" ht="27.75" customHeight="1" x14ac:dyDescent="0.15">
      <c r="I6" s="321" t="s">
        <v>21</v>
      </c>
      <c r="J6" s="321"/>
      <c r="K6" s="321"/>
      <c r="L6" s="321"/>
      <c r="M6" s="321"/>
      <c r="N6" s="325" t="s">
        <v>562</v>
      </c>
      <c r="O6" s="325"/>
      <c r="P6" s="325"/>
      <c r="Q6" s="325"/>
      <c r="R6" s="325"/>
      <c r="S6" s="325"/>
      <c r="T6" s="325"/>
      <c r="U6" s="325"/>
      <c r="V6" s="325"/>
      <c r="W6" s="325"/>
      <c r="X6" s="321" t="s">
        <v>563</v>
      </c>
      <c r="Y6" s="321"/>
      <c r="Z6" s="321"/>
      <c r="AA6" s="120"/>
      <c r="AB6" s="121" t="s">
        <v>36</v>
      </c>
      <c r="AC6" s="121"/>
      <c r="AD6" s="121" t="s">
        <v>553</v>
      </c>
      <c r="AE6" s="121"/>
      <c r="AF6" s="122" t="s">
        <v>554</v>
      </c>
      <c r="AG6" s="103"/>
      <c r="AH6" s="103"/>
      <c r="AI6" s="103"/>
      <c r="AJ6" s="103"/>
      <c r="AK6" s="103"/>
      <c r="AL6" s="103"/>
    </row>
    <row r="7" spans="1:38" s="119" customFormat="1" ht="20.25" customHeight="1" x14ac:dyDescent="0.15">
      <c r="A7" s="102"/>
      <c r="B7" s="102"/>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row>
    <row r="8" spans="1:38" s="119" customFormat="1" ht="18" customHeight="1" x14ac:dyDescent="0.15">
      <c r="A8" s="318" t="s">
        <v>85</v>
      </c>
      <c r="B8" s="319"/>
      <c r="C8" s="320"/>
      <c r="D8" s="318" t="s">
        <v>1</v>
      </c>
      <c r="E8" s="320"/>
      <c r="F8" s="318" t="s">
        <v>86</v>
      </c>
      <c r="G8" s="320"/>
      <c r="H8" s="318" t="s">
        <v>160</v>
      </c>
      <c r="I8" s="319"/>
      <c r="J8" s="319"/>
      <c r="K8" s="319"/>
      <c r="L8" s="319"/>
      <c r="M8" s="319"/>
      <c r="N8" s="319"/>
      <c r="O8" s="319"/>
      <c r="P8" s="319"/>
      <c r="Q8" s="319"/>
      <c r="R8" s="319"/>
      <c r="S8" s="319"/>
      <c r="T8" s="319"/>
      <c r="U8" s="319"/>
      <c r="V8" s="319"/>
      <c r="W8" s="319"/>
      <c r="X8" s="319"/>
      <c r="Y8" s="319"/>
      <c r="Z8" s="319"/>
      <c r="AA8" s="319"/>
      <c r="AB8" s="319"/>
      <c r="AC8" s="319"/>
      <c r="AD8" s="319"/>
      <c r="AE8" s="319"/>
      <c r="AF8" s="320"/>
    </row>
    <row r="9" spans="1:38" s="119" customFormat="1" ht="18.75" customHeight="1" x14ac:dyDescent="0.15">
      <c r="A9" s="334" t="s">
        <v>88</v>
      </c>
      <c r="B9" s="335"/>
      <c r="C9" s="336"/>
      <c r="D9" s="268"/>
      <c r="E9" s="213"/>
      <c r="F9" s="133"/>
      <c r="G9" s="213"/>
      <c r="H9" s="340" t="s">
        <v>89</v>
      </c>
      <c r="I9" s="123" t="s">
        <v>348</v>
      </c>
      <c r="J9" s="124" t="s">
        <v>204</v>
      </c>
      <c r="K9" s="125"/>
      <c r="L9" s="125"/>
      <c r="M9" s="123" t="s">
        <v>348</v>
      </c>
      <c r="N9" s="124" t="s">
        <v>205</v>
      </c>
      <c r="O9" s="125"/>
      <c r="P9" s="125"/>
      <c r="Q9" s="123" t="s">
        <v>348</v>
      </c>
      <c r="R9" s="124" t="s">
        <v>206</v>
      </c>
      <c r="S9" s="125"/>
      <c r="T9" s="125"/>
      <c r="U9" s="123" t="s">
        <v>348</v>
      </c>
      <c r="V9" s="124" t="s">
        <v>207</v>
      </c>
      <c r="W9" s="125"/>
      <c r="X9" s="125"/>
      <c r="Y9" s="124"/>
      <c r="Z9" s="124"/>
      <c r="AA9" s="124"/>
      <c r="AB9" s="124"/>
      <c r="AC9" s="124"/>
      <c r="AD9" s="124"/>
      <c r="AE9" s="124"/>
      <c r="AF9" s="135"/>
      <c r="AG9" s="119" t="str">
        <f>"tiikikbn_code:"&amp; IF(I9="■",1,IF(M9="■",6,IF(Q9="■",7,IF(U9="■",2,IF(I10="■",3,IF(M10="■",4,IF(Q10="■",9,IF(U10="■",5,0))))))))</f>
        <v>tiikikbn_code:0</v>
      </c>
    </row>
    <row r="10" spans="1:38" s="119" customFormat="1" ht="18.75" customHeight="1" x14ac:dyDescent="0.15">
      <c r="A10" s="396"/>
      <c r="B10" s="397"/>
      <c r="C10" s="398"/>
      <c r="D10" s="270"/>
      <c r="E10" s="216"/>
      <c r="F10" s="173"/>
      <c r="G10" s="216"/>
      <c r="H10" s="399"/>
      <c r="I10" s="271" t="s">
        <v>348</v>
      </c>
      <c r="J10" s="99" t="s">
        <v>208</v>
      </c>
      <c r="K10" s="272"/>
      <c r="L10" s="272"/>
      <c r="M10" s="123" t="s">
        <v>348</v>
      </c>
      <c r="N10" s="99" t="s">
        <v>209</v>
      </c>
      <c r="O10" s="272"/>
      <c r="P10" s="272"/>
      <c r="Q10" s="123" t="s">
        <v>348</v>
      </c>
      <c r="R10" s="99" t="s">
        <v>210</v>
      </c>
      <c r="S10" s="272"/>
      <c r="T10" s="272"/>
      <c r="U10" s="123" t="s">
        <v>348</v>
      </c>
      <c r="V10" s="99" t="s">
        <v>211</v>
      </c>
      <c r="W10" s="272"/>
      <c r="X10" s="272"/>
      <c r="Y10" s="273"/>
      <c r="Z10" s="273"/>
      <c r="AA10" s="273"/>
      <c r="AB10" s="273"/>
      <c r="AC10" s="273"/>
      <c r="AD10" s="273"/>
      <c r="AE10" s="273"/>
      <c r="AF10" s="216"/>
    </row>
    <row r="11" spans="1:38" ht="18.75" customHeight="1" x14ac:dyDescent="0.15">
      <c r="A11" s="107"/>
      <c r="B11" s="108"/>
      <c r="C11" s="109"/>
      <c r="D11" s="110"/>
      <c r="E11" s="111"/>
      <c r="F11" s="255"/>
      <c r="G11" s="113"/>
      <c r="H11" s="114" t="s">
        <v>390</v>
      </c>
      <c r="I11" s="148" t="s">
        <v>348</v>
      </c>
      <c r="J11" s="149" t="s">
        <v>360</v>
      </c>
      <c r="K11" s="150"/>
      <c r="L11" s="151"/>
      <c r="M11" s="152" t="s">
        <v>348</v>
      </c>
      <c r="N11" s="149" t="s">
        <v>370</v>
      </c>
      <c r="O11" s="274"/>
      <c r="P11" s="274"/>
      <c r="Q11" s="274"/>
      <c r="R11" s="274"/>
      <c r="S11" s="274"/>
      <c r="T11" s="274"/>
      <c r="U11" s="274"/>
      <c r="V11" s="274"/>
      <c r="W11" s="274"/>
      <c r="X11" s="274"/>
      <c r="Y11" s="145"/>
      <c r="Z11" s="145"/>
      <c r="AA11" s="145"/>
      <c r="AB11" s="145"/>
      <c r="AC11" s="145"/>
      <c r="AD11" s="145"/>
      <c r="AE11" s="145"/>
      <c r="AF11" s="275"/>
      <c r="AG11" s="103" t="str">
        <f>"ser_code = '" &amp; IF(A14="■","13S","") &amp; "'"</f>
        <v>ser_code = ''</v>
      </c>
      <c r="AH11" s="103"/>
      <c r="AI11" s="119" t="str">
        <f>"13S:field232:" &amp; IF(I11="■",1,IF(M11="■",2,0))</f>
        <v>13S:field232:0</v>
      </c>
      <c r="AJ11" s="103"/>
      <c r="AK11" s="103"/>
      <c r="AL11" s="103"/>
    </row>
    <row r="12" spans="1:38" s="119" customFormat="1" ht="18.75" customHeight="1" x14ac:dyDescent="0.15">
      <c r="A12" s="107"/>
      <c r="B12" s="108"/>
      <c r="C12" s="109"/>
      <c r="D12" s="110"/>
      <c r="E12" s="111"/>
      <c r="F12" s="112"/>
      <c r="G12" s="113"/>
      <c r="H12" s="276" t="s">
        <v>127</v>
      </c>
      <c r="I12" s="143" t="s">
        <v>348</v>
      </c>
      <c r="J12" s="115" t="s">
        <v>216</v>
      </c>
      <c r="K12" s="166"/>
      <c r="L12" s="191" t="s">
        <v>348</v>
      </c>
      <c r="M12" s="115" t="s">
        <v>232</v>
      </c>
      <c r="N12" s="166"/>
      <c r="O12" s="145"/>
      <c r="P12" s="145"/>
      <c r="Q12" s="145"/>
      <c r="R12" s="145"/>
      <c r="S12" s="145"/>
      <c r="T12" s="145"/>
      <c r="U12" s="145"/>
      <c r="V12" s="145"/>
      <c r="W12" s="145"/>
      <c r="X12" s="145"/>
      <c r="Y12" s="145"/>
      <c r="Z12" s="145"/>
      <c r="AA12" s="145"/>
      <c r="AB12" s="145"/>
      <c r="AC12" s="145"/>
      <c r="AD12" s="145"/>
      <c r="AE12" s="145"/>
      <c r="AF12" s="146"/>
      <c r="AG12" s="119" t="str">
        <f>"13S:sisetukbn_code:" &amp; IF(D13="■",1,IF(D14="■",2,IF(D15="■",3,0)))</f>
        <v>13S:sisetukbn_code:0</v>
      </c>
      <c r="AI12" s="119" t="str">
        <f>"13S:tokutiiki_code:" &amp; IF(I12="■",1,IF(L12="■",2,0))</f>
        <v>13S:tokutiiki_code:0</v>
      </c>
    </row>
    <row r="13" spans="1:38" s="119" customFormat="1" ht="18.75" customHeight="1" x14ac:dyDescent="0.15">
      <c r="A13" s="107"/>
      <c r="B13" s="108"/>
      <c r="C13" s="109"/>
      <c r="D13" s="128" t="s">
        <v>348</v>
      </c>
      <c r="E13" s="111" t="s">
        <v>241</v>
      </c>
      <c r="F13" s="112"/>
      <c r="G13" s="264"/>
      <c r="H13" s="393" t="s">
        <v>180</v>
      </c>
      <c r="I13" s="342" t="s">
        <v>348</v>
      </c>
      <c r="J13" s="343" t="s">
        <v>222</v>
      </c>
      <c r="K13" s="343"/>
      <c r="L13" s="343"/>
      <c r="M13" s="342" t="s">
        <v>348</v>
      </c>
      <c r="N13" s="343" t="s">
        <v>223</v>
      </c>
      <c r="O13" s="343"/>
      <c r="P13" s="343"/>
      <c r="Q13" s="241"/>
      <c r="R13" s="241"/>
      <c r="S13" s="241"/>
      <c r="T13" s="241"/>
      <c r="U13" s="241"/>
      <c r="V13" s="241"/>
      <c r="W13" s="241"/>
      <c r="X13" s="241"/>
      <c r="Y13" s="241"/>
      <c r="Z13" s="241"/>
      <c r="AA13" s="241"/>
      <c r="AB13" s="241"/>
      <c r="AC13" s="241"/>
      <c r="AD13" s="241"/>
      <c r="AE13" s="241"/>
      <c r="AF13" s="242"/>
      <c r="AI13" s="119" t="str">
        <f>"13S:chuusankanti_tiiki_code:" &amp; IF(I13="■",1,IF(M13="■",2,0))</f>
        <v>13S:chuusankanti_tiiki_code:0</v>
      </c>
    </row>
    <row r="14" spans="1:38" s="119" customFormat="1" ht="18.75" customHeight="1" x14ac:dyDescent="0.15">
      <c r="A14" s="128" t="s">
        <v>348</v>
      </c>
      <c r="B14" s="108">
        <v>13</v>
      </c>
      <c r="C14" s="109" t="s">
        <v>4</v>
      </c>
      <c r="D14" s="128" t="s">
        <v>348</v>
      </c>
      <c r="E14" s="111" t="s">
        <v>239</v>
      </c>
      <c r="F14" s="112"/>
      <c r="G14" s="264"/>
      <c r="H14" s="395"/>
      <c r="I14" s="331"/>
      <c r="J14" s="333"/>
      <c r="K14" s="333"/>
      <c r="L14" s="333"/>
      <c r="M14" s="331"/>
      <c r="N14" s="333"/>
      <c r="O14" s="333"/>
      <c r="P14" s="333"/>
      <c r="Q14" s="145"/>
      <c r="R14" s="145"/>
      <c r="S14" s="145"/>
      <c r="T14" s="145"/>
      <c r="U14" s="145"/>
      <c r="V14" s="145"/>
      <c r="W14" s="145"/>
      <c r="X14" s="145"/>
      <c r="Y14" s="145"/>
      <c r="Z14" s="145"/>
      <c r="AA14" s="145"/>
      <c r="AB14" s="145"/>
      <c r="AC14" s="145"/>
      <c r="AD14" s="145"/>
      <c r="AE14" s="145"/>
      <c r="AF14" s="146"/>
    </row>
    <row r="15" spans="1:38" s="119" customFormat="1" ht="18.75" customHeight="1" x14ac:dyDescent="0.15">
      <c r="A15" s="107"/>
      <c r="B15" s="127"/>
      <c r="C15" s="109"/>
      <c r="D15" s="225" t="s">
        <v>348</v>
      </c>
      <c r="E15" s="111" t="s">
        <v>365</v>
      </c>
      <c r="F15" s="112"/>
      <c r="G15" s="298"/>
      <c r="H15" s="393" t="s">
        <v>181</v>
      </c>
      <c r="I15" s="342" t="s">
        <v>348</v>
      </c>
      <c r="J15" s="343" t="s">
        <v>222</v>
      </c>
      <c r="K15" s="343"/>
      <c r="L15" s="343"/>
      <c r="M15" s="342" t="s">
        <v>348</v>
      </c>
      <c r="N15" s="343" t="s">
        <v>223</v>
      </c>
      <c r="O15" s="343"/>
      <c r="P15" s="343"/>
      <c r="Q15" s="241"/>
      <c r="R15" s="241"/>
      <c r="S15" s="241"/>
      <c r="T15" s="241"/>
      <c r="U15" s="241"/>
      <c r="V15" s="241"/>
      <c r="W15" s="241"/>
      <c r="X15" s="241"/>
      <c r="Y15" s="241"/>
      <c r="Z15" s="241"/>
      <c r="AA15" s="241"/>
      <c r="AB15" s="241"/>
      <c r="AC15" s="241"/>
      <c r="AD15" s="241"/>
      <c r="AE15" s="241"/>
      <c r="AF15" s="242"/>
      <c r="AI15" s="119" t="str">
        <f>"13S:chuusankanti_kibo_code:" &amp; IF(I15="■",1,IF(M15="■",2,0))</f>
        <v>13S:chuusankanti_kibo_code:0</v>
      </c>
    </row>
    <row r="16" spans="1:38" s="119" customFormat="1" ht="18.75" customHeight="1" x14ac:dyDescent="0.15">
      <c r="A16" s="170"/>
      <c r="B16" s="269"/>
      <c r="C16" s="172"/>
      <c r="D16" s="173"/>
      <c r="E16" s="174"/>
      <c r="F16" s="175"/>
      <c r="G16" s="303"/>
      <c r="H16" s="394"/>
      <c r="I16" s="392"/>
      <c r="J16" s="380"/>
      <c r="K16" s="380"/>
      <c r="L16" s="380"/>
      <c r="M16" s="392"/>
      <c r="N16" s="380"/>
      <c r="O16" s="380"/>
      <c r="P16" s="380"/>
      <c r="Q16" s="202"/>
      <c r="R16" s="202"/>
      <c r="S16" s="202"/>
      <c r="T16" s="202"/>
      <c r="U16" s="202"/>
      <c r="V16" s="202"/>
      <c r="W16" s="202"/>
      <c r="X16" s="202"/>
      <c r="Y16" s="202"/>
      <c r="Z16" s="202"/>
      <c r="AA16" s="202"/>
      <c r="AB16" s="202"/>
      <c r="AC16" s="202"/>
      <c r="AD16" s="202"/>
      <c r="AE16" s="202"/>
      <c r="AF16" s="203"/>
    </row>
    <row r="17" spans="1:32" s="119" customFormat="1" ht="8.25" customHeight="1" x14ac:dyDescent="0.15">
      <c r="A17" s="277"/>
      <c r="B17" s="277"/>
      <c r="C17" s="103"/>
      <c r="D17" s="103"/>
      <c r="E17" s="103"/>
      <c r="F17" s="103"/>
      <c r="G17" s="104"/>
      <c r="H17" s="104"/>
      <c r="I17" s="104"/>
      <c r="J17" s="104"/>
      <c r="K17" s="104"/>
      <c r="L17" s="104"/>
      <c r="M17" s="104"/>
      <c r="N17" s="104"/>
      <c r="O17" s="104"/>
      <c r="P17" s="104"/>
      <c r="Q17" s="104"/>
      <c r="R17" s="104"/>
      <c r="S17" s="104"/>
      <c r="T17" s="104"/>
      <c r="U17" s="104"/>
      <c r="V17" s="104"/>
      <c r="W17" s="104"/>
      <c r="X17" s="104"/>
      <c r="Y17" s="104"/>
      <c r="Z17" s="104"/>
      <c r="AA17" s="104"/>
      <c r="AB17" s="104"/>
      <c r="AC17" s="103"/>
      <c r="AD17" s="103"/>
      <c r="AE17" s="103"/>
      <c r="AF17" s="103"/>
    </row>
    <row r="18" spans="1:32" s="119" customFormat="1" ht="20.25" customHeight="1" x14ac:dyDescent="0.15">
      <c r="A18" s="277"/>
      <c r="B18" s="277"/>
      <c r="C18" s="104" t="s">
        <v>161</v>
      </c>
      <c r="D18" s="104"/>
      <c r="E18" s="278"/>
      <c r="F18" s="278"/>
      <c r="G18" s="278"/>
      <c r="H18" s="278"/>
      <c r="I18" s="278"/>
      <c r="J18" s="278"/>
      <c r="K18" s="278"/>
      <c r="L18" s="278"/>
      <c r="M18" s="278"/>
      <c r="N18" s="278"/>
      <c r="O18" s="278"/>
      <c r="P18" s="278"/>
      <c r="Q18" s="278"/>
      <c r="R18" s="278"/>
      <c r="S18" s="278"/>
      <c r="T18" s="278"/>
      <c r="U18" s="278"/>
      <c r="V18" s="278"/>
      <c r="W18" s="103"/>
      <c r="X18" s="103"/>
      <c r="Y18" s="103"/>
      <c r="Z18" s="103"/>
      <c r="AA18" s="103"/>
      <c r="AB18" s="103"/>
      <c r="AC18" s="103"/>
      <c r="AD18" s="103"/>
      <c r="AE18" s="103"/>
      <c r="AF18" s="103"/>
    </row>
  </sheetData>
  <mergeCells count="24">
    <mergeCell ref="A9:C10"/>
    <mergeCell ref="H9:H10"/>
    <mergeCell ref="A3:AF3"/>
    <mergeCell ref="A8:C8"/>
    <mergeCell ref="D8:E8"/>
    <mergeCell ref="F8:G8"/>
    <mergeCell ref="H8:AF8"/>
    <mergeCell ref="AA5:AF5"/>
    <mergeCell ref="I6:M6"/>
    <mergeCell ref="I5:M5"/>
    <mergeCell ref="N5:W5"/>
    <mergeCell ref="X5:Z5"/>
    <mergeCell ref="N6:W6"/>
    <mergeCell ref="X6:Z6"/>
    <mergeCell ref="H13:H14"/>
    <mergeCell ref="I13:I14"/>
    <mergeCell ref="J13:L14"/>
    <mergeCell ref="M13:M14"/>
    <mergeCell ref="N13:P14"/>
    <mergeCell ref="H15:H16"/>
    <mergeCell ref="I15:I16"/>
    <mergeCell ref="J15:L16"/>
    <mergeCell ref="M15:M16"/>
    <mergeCell ref="N15:P16"/>
  </mergeCells>
  <phoneticPr fontId="1"/>
  <conditionalFormatting sqref="A1:AF4 A7:AF1048576">
    <cfRule type="expression" dxfId="7" priority="3">
      <formula>CELL("protect",A1)=0</formula>
    </cfRule>
  </conditionalFormatting>
  <dataValidations count="1">
    <dataValidation type="list" allowBlank="1" showInputMessage="1" showErrorMessage="1" sqref="M13:M16 L12 Q9:Q10 U9:U10 A14 D13:D15 M9:M11 I9:I16" xr:uid="{2214769C-69A7-4C37-A086-6EC49E9E50EE}">
      <formula1>"□,■"</formula1>
    </dataValidation>
  </dataValidations>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1BDA113E-E49D-475D-92DC-F5543C49812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310"/>
      <c r="B1" s="91" t="s">
        <v>456</v>
      </c>
      <c r="C1"/>
      <c r="D1"/>
      <c r="E1"/>
      <c r="F1"/>
      <c r="G1"/>
      <c r="H1"/>
      <c r="I1"/>
      <c r="J1"/>
      <c r="K1"/>
    </row>
    <row r="3" spans="1:11" ht="20.25" customHeight="1" x14ac:dyDescent="0.15">
      <c r="A3" s="92"/>
      <c r="B3" s="2" t="s">
        <v>457</v>
      </c>
      <c r="C3" s="3"/>
      <c r="D3" s="3"/>
      <c r="E3" s="3"/>
      <c r="F3" s="3"/>
      <c r="G3" s="3"/>
      <c r="H3" s="3"/>
      <c r="I3" s="3"/>
      <c r="J3" s="3"/>
      <c r="K3" s="3"/>
    </row>
    <row r="4" spans="1:11" ht="20.25" customHeight="1" x14ac:dyDescent="0.15">
      <c r="A4" s="92"/>
      <c r="B4" s="2" t="s">
        <v>458</v>
      </c>
      <c r="C4" s="3"/>
      <c r="D4" s="3"/>
      <c r="E4" s="3"/>
      <c r="F4" s="3"/>
      <c r="G4" s="3"/>
      <c r="H4" s="3"/>
      <c r="I4" s="3"/>
      <c r="J4" s="3"/>
      <c r="K4" s="3"/>
    </row>
    <row r="5" spans="1:11" ht="20.25" customHeight="1" x14ac:dyDescent="0.15">
      <c r="A5" s="92"/>
      <c r="B5" s="2" t="s">
        <v>459</v>
      </c>
      <c r="C5" s="3"/>
      <c r="D5" s="3"/>
      <c r="E5" s="3"/>
      <c r="F5" s="3"/>
      <c r="G5" s="3"/>
      <c r="H5" s="3"/>
      <c r="I5" s="3"/>
      <c r="J5" s="3"/>
      <c r="K5" s="3"/>
    </row>
    <row r="6" spans="1:11" ht="20.25" customHeight="1" x14ac:dyDescent="0.15">
      <c r="A6" s="92"/>
      <c r="B6" s="2" t="s">
        <v>460</v>
      </c>
      <c r="C6" s="3"/>
      <c r="D6" s="3"/>
      <c r="E6" s="3"/>
      <c r="F6" s="3"/>
      <c r="G6" s="3"/>
      <c r="H6" s="3"/>
      <c r="I6" s="3"/>
      <c r="J6" s="3"/>
      <c r="K6" s="3"/>
    </row>
    <row r="7" spans="1:11" ht="20.25" customHeight="1" x14ac:dyDescent="0.15">
      <c r="A7" s="92"/>
      <c r="B7" s="2" t="s">
        <v>461</v>
      </c>
      <c r="C7" s="3"/>
      <c r="D7" s="3"/>
      <c r="E7" s="3"/>
      <c r="F7" s="3"/>
      <c r="G7" s="3"/>
      <c r="H7" s="3"/>
      <c r="I7" s="3"/>
      <c r="J7" s="3"/>
      <c r="K7" s="3"/>
    </row>
    <row r="8" spans="1:11" ht="20.25" customHeight="1" x14ac:dyDescent="0.15">
      <c r="A8" s="92"/>
      <c r="B8" s="2" t="s">
        <v>462</v>
      </c>
      <c r="C8" s="3"/>
      <c r="D8" s="3"/>
      <c r="E8" s="3"/>
      <c r="F8" s="3"/>
      <c r="G8" s="3"/>
      <c r="H8" s="3"/>
      <c r="I8" s="3"/>
      <c r="J8" s="3"/>
      <c r="K8" s="3"/>
    </row>
    <row r="9" spans="1:11" ht="20.25" customHeight="1" x14ac:dyDescent="0.15">
      <c r="A9" s="92"/>
      <c r="B9" s="2" t="s">
        <v>463</v>
      </c>
      <c r="C9" s="2"/>
      <c r="D9" s="2"/>
      <c r="E9" s="2"/>
      <c r="F9" s="2"/>
      <c r="G9" s="2"/>
      <c r="H9" s="2"/>
      <c r="I9" s="2"/>
      <c r="J9" s="2"/>
      <c r="K9" s="3"/>
    </row>
    <row r="10" spans="1:11" ht="20.25" customHeight="1" x14ac:dyDescent="0.15">
      <c r="A10" s="92"/>
      <c r="B10" s="2" t="s">
        <v>464</v>
      </c>
      <c r="C10" s="3"/>
      <c r="D10" s="3"/>
      <c r="E10" s="3"/>
      <c r="F10" s="3"/>
      <c r="G10" s="3"/>
      <c r="H10" s="3"/>
      <c r="I10" s="3"/>
      <c r="J10" s="3"/>
      <c r="K10" s="3"/>
    </row>
    <row r="11" spans="1:11" ht="20.25" customHeight="1" x14ac:dyDescent="0.15">
      <c r="A11" s="92"/>
      <c r="B11" s="2" t="s">
        <v>465</v>
      </c>
      <c r="C11" s="3"/>
      <c r="D11" s="3"/>
      <c r="E11" s="3"/>
      <c r="F11" s="3"/>
      <c r="G11" s="3"/>
      <c r="H11" s="3"/>
      <c r="I11" s="3"/>
      <c r="J11" s="3"/>
      <c r="K11" s="3"/>
    </row>
    <row r="12" spans="1:11" ht="20.25" customHeight="1" x14ac:dyDescent="0.15">
      <c r="A12" s="92"/>
      <c r="B12" s="2" t="s">
        <v>466</v>
      </c>
      <c r="C12" s="3"/>
      <c r="D12" s="3"/>
      <c r="E12" s="3"/>
      <c r="F12" s="3"/>
      <c r="G12" s="3"/>
      <c r="H12" s="3"/>
      <c r="I12" s="3"/>
      <c r="J12" s="3"/>
      <c r="K12" s="3"/>
    </row>
    <row r="13" spans="1:11" ht="20.25" customHeight="1" x14ac:dyDescent="0.15">
      <c r="A13"/>
      <c r="B13" s="2" t="s">
        <v>467</v>
      </c>
      <c r="C13"/>
      <c r="D13"/>
      <c r="E13"/>
      <c r="F13"/>
      <c r="G13"/>
      <c r="H13"/>
      <c r="I13"/>
      <c r="J13"/>
      <c r="K13"/>
    </row>
    <row r="14" spans="1:11" ht="48" customHeight="1" x14ac:dyDescent="0.15">
      <c r="A14"/>
      <c r="B14" s="400" t="s">
        <v>468</v>
      </c>
      <c r="C14" s="401"/>
      <c r="D14" s="401"/>
      <c r="E14" s="401"/>
      <c r="F14" s="401"/>
      <c r="G14" s="401"/>
      <c r="H14" s="401"/>
      <c r="I14" s="401"/>
      <c r="J14" s="401"/>
      <c r="K14" s="401"/>
    </row>
    <row r="15" spans="1:11" ht="21" customHeight="1" x14ac:dyDescent="0.15">
      <c r="A15"/>
      <c r="B15" s="400" t="s">
        <v>469</v>
      </c>
      <c r="C15" s="400"/>
      <c r="D15" s="400"/>
      <c r="E15" s="400"/>
      <c r="F15" s="400"/>
      <c r="G15" s="400"/>
    </row>
    <row r="16" spans="1:11" ht="20.25" customHeight="1" x14ac:dyDescent="0.15">
      <c r="A16"/>
      <c r="B16" s="2" t="s">
        <v>555</v>
      </c>
      <c r="C16"/>
      <c r="D16"/>
      <c r="E16"/>
      <c r="F16"/>
      <c r="G16"/>
      <c r="H16"/>
      <c r="I16"/>
      <c r="J16"/>
      <c r="K16"/>
    </row>
    <row r="17" spans="1:19" ht="20.25" customHeight="1" x14ac:dyDescent="0.15">
      <c r="A17"/>
      <c r="B17" s="2" t="s">
        <v>470</v>
      </c>
      <c r="C17"/>
      <c r="D17"/>
      <c r="E17"/>
      <c r="F17"/>
      <c r="G17"/>
      <c r="H17"/>
      <c r="I17"/>
      <c r="J17"/>
      <c r="K17"/>
    </row>
    <row r="18" spans="1:19" ht="20.25" customHeight="1" x14ac:dyDescent="0.15">
      <c r="A18"/>
      <c r="B18" s="2" t="s">
        <v>471</v>
      </c>
      <c r="C18"/>
      <c r="D18"/>
      <c r="E18"/>
      <c r="F18"/>
      <c r="G18"/>
      <c r="H18"/>
      <c r="I18"/>
      <c r="J18"/>
      <c r="K18"/>
    </row>
    <row r="19" spans="1:19" ht="20.25" customHeight="1" x14ac:dyDescent="0.15">
      <c r="A19"/>
      <c r="B19" s="2" t="s">
        <v>472</v>
      </c>
      <c r="C19"/>
      <c r="D19"/>
      <c r="E19"/>
      <c r="F19"/>
      <c r="G19"/>
      <c r="H19"/>
      <c r="I19"/>
      <c r="J19"/>
      <c r="K19"/>
    </row>
    <row r="20" spans="1:19" ht="20.25" customHeight="1" x14ac:dyDescent="0.15">
      <c r="A20"/>
      <c r="B20" s="2" t="s">
        <v>473</v>
      </c>
      <c r="C20"/>
      <c r="D20"/>
      <c r="E20"/>
      <c r="F20"/>
      <c r="G20"/>
    </row>
    <row r="21" spans="1:19" ht="20.25" customHeight="1" x14ac:dyDescent="0.15">
      <c r="A21"/>
      <c r="B21" s="2" t="s">
        <v>474</v>
      </c>
      <c r="C21"/>
      <c r="D21"/>
      <c r="E21"/>
      <c r="F21"/>
      <c r="G21"/>
    </row>
    <row r="22" spans="1:19" ht="20.25" customHeight="1" x14ac:dyDescent="0.15">
      <c r="A22"/>
      <c r="B22" s="2" t="s">
        <v>475</v>
      </c>
      <c r="C22"/>
      <c r="D22"/>
      <c r="E22"/>
      <c r="F22"/>
      <c r="G22"/>
    </row>
    <row r="23" spans="1:19" ht="20.25" customHeight="1" x14ac:dyDescent="0.15">
      <c r="A23"/>
      <c r="B23" s="2" t="s">
        <v>476</v>
      </c>
      <c r="C23"/>
      <c r="D23"/>
      <c r="E23"/>
      <c r="F23"/>
      <c r="G23"/>
    </row>
    <row r="24" spans="1:19" ht="20.25" customHeight="1" x14ac:dyDescent="0.15">
      <c r="A24"/>
      <c r="B24" s="2" t="s">
        <v>477</v>
      </c>
      <c r="C24"/>
      <c r="D24"/>
      <c r="E24"/>
      <c r="F24"/>
      <c r="G24"/>
    </row>
    <row r="25" spans="1:19" ht="20.25" customHeight="1" x14ac:dyDescent="0.15">
      <c r="A25"/>
      <c r="B25" s="2" t="s">
        <v>478</v>
      </c>
      <c r="C25"/>
      <c r="D25"/>
      <c r="E25"/>
      <c r="F25"/>
      <c r="G25"/>
    </row>
    <row r="26" spans="1:19" ht="20.25" customHeight="1" x14ac:dyDescent="0.15">
      <c r="A26"/>
      <c r="B26" s="2" t="s">
        <v>479</v>
      </c>
      <c r="C26"/>
      <c r="D26"/>
      <c r="E26"/>
      <c r="F26" s="2"/>
      <c r="G26" s="2"/>
      <c r="S26" s="86"/>
    </row>
    <row r="27" spans="1:19" ht="20.25" customHeight="1" x14ac:dyDescent="0.15">
      <c r="A27"/>
      <c r="B27" s="2" t="s">
        <v>480</v>
      </c>
      <c r="C27"/>
      <c r="D27"/>
      <c r="E27"/>
      <c r="F27"/>
      <c r="G27"/>
      <c r="S27" s="86"/>
    </row>
    <row r="28" spans="1:19" ht="20.25" customHeight="1" x14ac:dyDescent="0.15">
      <c r="A28"/>
      <c r="B28" s="2" t="s">
        <v>481</v>
      </c>
      <c r="C28"/>
      <c r="D28"/>
      <c r="E28"/>
      <c r="F28"/>
      <c r="G28"/>
      <c r="S28" s="86"/>
    </row>
    <row r="29" spans="1:19" s="88" customFormat="1" ht="19.5" customHeight="1" x14ac:dyDescent="0.15">
      <c r="A29" s="93"/>
      <c r="B29" s="2" t="s">
        <v>482</v>
      </c>
      <c r="S29" s="86"/>
    </row>
    <row r="30" spans="1:19" s="88" customFormat="1" ht="19.5" customHeight="1" x14ac:dyDescent="0.15">
      <c r="A30" s="93"/>
      <c r="B30" s="2" t="s">
        <v>483</v>
      </c>
      <c r="S30" s="86"/>
    </row>
    <row r="31" spans="1:19" s="88" customFormat="1" ht="19.5" customHeight="1" x14ac:dyDescent="0.15">
      <c r="A31" s="93"/>
      <c r="B31" s="2" t="s">
        <v>484</v>
      </c>
      <c r="S31" s="86"/>
    </row>
    <row r="32" spans="1:19" s="88" customFormat="1" ht="19.5" customHeight="1" x14ac:dyDescent="0.15">
      <c r="A32" s="93"/>
      <c r="B32" s="401" t="s">
        <v>485</v>
      </c>
      <c r="C32" s="401"/>
      <c r="D32" s="401"/>
      <c r="E32" s="401"/>
      <c r="F32" s="401"/>
      <c r="G32" s="401"/>
      <c r="S32" s="86"/>
    </row>
    <row r="33" spans="1:19" s="88" customFormat="1" ht="19.5" customHeight="1" x14ac:dyDescent="0.15">
      <c r="A33" s="93"/>
      <c r="B33" s="2" t="s">
        <v>486</v>
      </c>
      <c r="S33" s="86"/>
    </row>
    <row r="34" spans="1:19" s="88" customFormat="1" ht="41.25" customHeight="1" x14ac:dyDescent="0.15">
      <c r="A34" s="93"/>
      <c r="B34" s="400" t="s">
        <v>487</v>
      </c>
      <c r="C34" s="400"/>
      <c r="D34" s="400"/>
      <c r="E34" s="400"/>
      <c r="F34" s="400"/>
      <c r="G34" s="400"/>
      <c r="H34" s="400"/>
      <c r="I34" s="400"/>
      <c r="J34" s="400"/>
      <c r="K34" s="400"/>
      <c r="L34" s="94"/>
      <c r="M34" s="94"/>
      <c r="N34" s="94"/>
      <c r="O34" s="94"/>
      <c r="S34" s="86"/>
    </row>
    <row r="35" spans="1:19" s="88" customFormat="1" ht="19.5" customHeight="1" x14ac:dyDescent="0.15">
      <c r="A35" s="93"/>
      <c r="B35" s="2" t="s">
        <v>488</v>
      </c>
      <c r="S35" s="86"/>
    </row>
    <row r="36" spans="1:19" s="86" customFormat="1" ht="20.25" customHeight="1" x14ac:dyDescent="0.15">
      <c r="A36" s="85"/>
      <c r="B36" s="2" t="s">
        <v>489</v>
      </c>
    </row>
    <row r="37" spans="1:19" ht="20.25" customHeight="1" x14ac:dyDescent="0.15">
      <c r="A37" s="1"/>
      <c r="B37" s="2" t="s">
        <v>490</v>
      </c>
      <c r="C37"/>
      <c r="D37"/>
      <c r="E37"/>
      <c r="F37"/>
      <c r="G37"/>
      <c r="S37" s="86"/>
    </row>
    <row r="38" spans="1:19" ht="20.25" customHeight="1" x14ac:dyDescent="0.15">
      <c r="A38" s="1"/>
      <c r="B38" s="2" t="s">
        <v>491</v>
      </c>
      <c r="C38"/>
      <c r="D38"/>
      <c r="E38"/>
      <c r="F38"/>
      <c r="G38"/>
      <c r="S38" s="86"/>
    </row>
    <row r="39" spans="1:19" ht="20.25" customHeight="1" x14ac:dyDescent="0.15">
      <c r="A39" s="1"/>
      <c r="B39" s="2" t="s">
        <v>492</v>
      </c>
      <c r="C39"/>
      <c r="D39"/>
      <c r="E39"/>
      <c r="F39"/>
      <c r="G39"/>
    </row>
    <row r="40" spans="1:19" ht="20.25" customHeight="1" x14ac:dyDescent="0.15">
      <c r="A40" s="1"/>
      <c r="B40" s="2" t="s">
        <v>493</v>
      </c>
      <c r="C40"/>
      <c r="D40"/>
      <c r="E40"/>
      <c r="F40"/>
      <c r="G40"/>
    </row>
    <row r="41" spans="1:19" s="87" customFormat="1" ht="20.25" customHeight="1" x14ac:dyDescent="0.15">
      <c r="B41" s="2" t="s">
        <v>494</v>
      </c>
    </row>
    <row r="42" spans="1:19" s="87" customFormat="1" ht="20.25" customHeight="1" x14ac:dyDescent="0.15">
      <c r="B42" s="2" t="s">
        <v>495</v>
      </c>
    </row>
    <row r="43" spans="1:19" s="87" customFormat="1" ht="20.25" customHeight="1" x14ac:dyDescent="0.15">
      <c r="B43" s="2"/>
    </row>
    <row r="44" spans="1:19" s="87" customFormat="1" ht="20.25" customHeight="1" x14ac:dyDescent="0.15">
      <c r="B44" s="2" t="s">
        <v>496</v>
      </c>
    </row>
    <row r="45" spans="1:19" s="87" customFormat="1" ht="20.25" customHeight="1" x14ac:dyDescent="0.15">
      <c r="B45" s="2" t="s">
        <v>497</v>
      </c>
    </row>
    <row r="46" spans="1:19" s="87" customFormat="1" ht="20.25" customHeight="1" x14ac:dyDescent="0.15">
      <c r="B46" s="2" t="s">
        <v>498</v>
      </c>
    </row>
    <row r="47" spans="1:19" s="87" customFormat="1" ht="20.25" customHeight="1" x14ac:dyDescent="0.15">
      <c r="B47" s="2" t="s">
        <v>499</v>
      </c>
    </row>
    <row r="48" spans="1:19" s="87" customFormat="1" ht="20.25" customHeight="1" x14ac:dyDescent="0.15">
      <c r="B48" s="2" t="s">
        <v>500</v>
      </c>
    </row>
    <row r="49" spans="1:19" s="87" customFormat="1" ht="20.25" customHeight="1" x14ac:dyDescent="0.15">
      <c r="B49" s="2" t="s">
        <v>501</v>
      </c>
    </row>
    <row r="50" spans="1:19" s="87" customFormat="1" ht="20.25" customHeight="1" x14ac:dyDescent="0.15"/>
    <row r="51" spans="1:19" s="87" customFormat="1" ht="20.25" customHeight="1" x14ac:dyDescent="0.15">
      <c r="B51" s="2" t="s">
        <v>502</v>
      </c>
    </row>
    <row r="52" spans="1:19" s="87" customFormat="1" ht="20.25" customHeight="1" x14ac:dyDescent="0.15">
      <c r="B52" s="2" t="s">
        <v>503</v>
      </c>
    </row>
    <row r="53" spans="1:19" s="87" customFormat="1" ht="20.25" customHeight="1" x14ac:dyDescent="0.15">
      <c r="B53" s="2" t="s">
        <v>504</v>
      </c>
    </row>
    <row r="54" spans="1:19" s="87" customFormat="1" ht="42" customHeight="1" x14ac:dyDescent="0.15">
      <c r="B54" s="402" t="s">
        <v>505</v>
      </c>
      <c r="C54" s="402"/>
      <c r="D54" s="402"/>
      <c r="E54" s="402"/>
      <c r="F54" s="402"/>
      <c r="G54" s="402"/>
      <c r="H54" s="402"/>
      <c r="I54" s="402"/>
      <c r="J54" s="402"/>
      <c r="K54" s="402"/>
      <c r="L54" s="402"/>
      <c r="M54" s="402"/>
      <c r="N54" s="402"/>
      <c r="O54" s="402"/>
      <c r="P54" s="402"/>
      <c r="Q54" s="402"/>
      <c r="S54" s="90"/>
    </row>
    <row r="55" spans="1:19" s="87" customFormat="1" ht="20.25" customHeight="1" x14ac:dyDescent="0.15">
      <c r="B55" s="400" t="s">
        <v>506</v>
      </c>
      <c r="C55" s="400"/>
      <c r="D55" s="400"/>
      <c r="E55" s="400"/>
      <c r="F55" s="400"/>
      <c r="G55" s="400"/>
      <c r="S55" s="90"/>
    </row>
    <row r="56" spans="1:19" s="87" customFormat="1" ht="20.25" customHeight="1" x14ac:dyDescent="0.15">
      <c r="B56" s="2" t="s">
        <v>507</v>
      </c>
      <c r="C56" s="88"/>
      <c r="D56" s="88"/>
      <c r="E56" s="88"/>
      <c r="S56" s="90"/>
    </row>
    <row r="57" spans="1:19" s="87" customFormat="1" ht="20.25" customHeight="1" x14ac:dyDescent="0.15">
      <c r="B57" s="2" t="s">
        <v>508</v>
      </c>
      <c r="C57" s="88"/>
      <c r="D57" s="88"/>
      <c r="E57" s="88"/>
      <c r="S57" s="90"/>
    </row>
    <row r="58" spans="1:19" s="87" customFormat="1" ht="35.25" customHeight="1" x14ac:dyDescent="0.15">
      <c r="B58" s="402" t="s">
        <v>509</v>
      </c>
      <c r="C58" s="402"/>
      <c r="D58" s="402"/>
      <c r="E58" s="402"/>
      <c r="F58" s="402"/>
      <c r="G58" s="402"/>
      <c r="H58" s="402"/>
      <c r="I58" s="402"/>
      <c r="J58" s="402"/>
      <c r="K58" s="402"/>
      <c r="L58" s="402"/>
      <c r="M58" s="402"/>
      <c r="N58" s="402"/>
      <c r="O58" s="402"/>
      <c r="P58" s="402"/>
      <c r="Q58" s="402"/>
      <c r="S58" s="90"/>
    </row>
    <row r="59" spans="1:19" s="87" customFormat="1" ht="20.25" customHeight="1" x14ac:dyDescent="0.15">
      <c r="B59" s="401" t="s">
        <v>510</v>
      </c>
      <c r="C59" s="401"/>
      <c r="D59" s="401"/>
      <c r="E59" s="401"/>
      <c r="F59" s="401"/>
      <c r="G59" s="401"/>
      <c r="H59" s="401"/>
      <c r="I59" s="401"/>
      <c r="J59" s="401"/>
      <c r="K59" s="401"/>
      <c r="L59" s="401"/>
      <c r="M59" s="401"/>
      <c r="S59" s="90"/>
    </row>
    <row r="60" spans="1:19" s="87" customFormat="1" ht="20.25" customHeight="1" x14ac:dyDescent="0.15">
      <c r="B60" s="400" t="s">
        <v>511</v>
      </c>
      <c r="C60" s="400"/>
      <c r="D60" s="400"/>
      <c r="E60" s="400"/>
      <c r="F60" s="400"/>
      <c r="G60" s="400"/>
      <c r="S60" s="90"/>
    </row>
    <row r="61" spans="1:19" ht="20.25" customHeight="1" x14ac:dyDescent="0.15">
      <c r="A61" s="92"/>
      <c r="B61" s="2" t="s">
        <v>512</v>
      </c>
      <c r="C61" s="3"/>
      <c r="D61" s="3"/>
      <c r="E61" s="3"/>
      <c r="F61" s="3"/>
      <c r="G61" s="3"/>
      <c r="H61" s="3"/>
      <c r="I61" s="3"/>
      <c r="J61" s="3"/>
      <c r="K61" s="3"/>
    </row>
    <row r="62" spans="1:19" s="87" customFormat="1" ht="20.25" customHeight="1" x14ac:dyDescent="0.15">
      <c r="B62" s="400" t="s">
        <v>513</v>
      </c>
      <c r="C62" s="400"/>
      <c r="D62" s="400"/>
      <c r="E62" s="400"/>
      <c r="F62" s="400"/>
      <c r="G62" s="400"/>
      <c r="S62" s="90"/>
    </row>
    <row r="63" spans="1:19" s="87" customFormat="1" ht="20.25" customHeight="1" x14ac:dyDescent="0.15">
      <c r="B63" s="400" t="s">
        <v>514</v>
      </c>
      <c r="C63" s="400"/>
      <c r="D63" s="400"/>
      <c r="E63" s="400"/>
      <c r="F63" s="400"/>
      <c r="G63" s="400"/>
      <c r="S63" s="90"/>
    </row>
    <row r="64" spans="1:19" s="87" customFormat="1" ht="20.25" customHeight="1" x14ac:dyDescent="0.15">
      <c r="B64" s="400" t="s">
        <v>515</v>
      </c>
      <c r="C64" s="400"/>
      <c r="D64" s="400"/>
      <c r="E64" s="400"/>
      <c r="F64" s="400"/>
      <c r="G64" s="400"/>
      <c r="S64" s="90"/>
    </row>
    <row r="65" spans="1:19" s="87" customFormat="1" ht="20.25" customHeight="1" x14ac:dyDescent="0.15">
      <c r="B65" s="400" t="s">
        <v>516</v>
      </c>
      <c r="C65" s="400"/>
      <c r="D65" s="400"/>
      <c r="E65" s="400"/>
      <c r="F65" s="400"/>
      <c r="G65" s="400"/>
      <c r="S65" s="90"/>
    </row>
    <row r="66" spans="1:19" s="87" customFormat="1" ht="20.25" customHeight="1" x14ac:dyDescent="0.15">
      <c r="B66" s="400" t="s">
        <v>517</v>
      </c>
      <c r="C66" s="400"/>
      <c r="D66" s="400"/>
      <c r="E66" s="400"/>
      <c r="F66" s="400"/>
      <c r="G66" s="400"/>
      <c r="H66" s="400"/>
      <c r="I66" s="400"/>
      <c r="J66" s="400"/>
      <c r="K66" s="400"/>
      <c r="L66" s="400"/>
      <c r="M66" s="400"/>
      <c r="N66" s="400"/>
      <c r="O66" s="400"/>
      <c r="P66" s="400"/>
      <c r="Q66" s="400"/>
      <c r="S66" s="90"/>
    </row>
    <row r="67" spans="1:19" s="87" customFormat="1" ht="20.25" customHeight="1" x14ac:dyDescent="0.15">
      <c r="B67" s="400" t="s">
        <v>518</v>
      </c>
      <c r="C67" s="400"/>
      <c r="D67" s="400"/>
      <c r="E67" s="400"/>
      <c r="F67" s="400"/>
      <c r="G67" s="400"/>
      <c r="H67" s="400"/>
      <c r="I67" s="400"/>
      <c r="J67" s="400"/>
      <c r="K67" s="400"/>
      <c r="L67" s="400"/>
      <c r="M67" s="400"/>
      <c r="N67" s="400"/>
      <c r="O67" s="400"/>
      <c r="P67" s="400"/>
      <c r="Q67" s="400"/>
      <c r="S67" s="90"/>
    </row>
    <row r="68" spans="1:19" s="87" customFormat="1" ht="20.25" customHeight="1" x14ac:dyDescent="0.15">
      <c r="B68" s="400" t="s">
        <v>519</v>
      </c>
      <c r="C68" s="400"/>
      <c r="D68" s="400"/>
      <c r="E68" s="400"/>
      <c r="F68" s="400"/>
      <c r="G68" s="400"/>
      <c r="H68" s="400"/>
      <c r="I68" s="400"/>
      <c r="J68" s="400"/>
      <c r="K68" s="400"/>
      <c r="L68" s="400"/>
      <c r="M68" s="400"/>
      <c r="N68" s="400"/>
      <c r="O68" s="400"/>
      <c r="P68" s="400"/>
      <c r="Q68" s="400"/>
      <c r="S68" s="90"/>
    </row>
    <row r="69" spans="1:19" s="87" customFormat="1" ht="20.25" customHeight="1" x14ac:dyDescent="0.15">
      <c r="B69" s="2" t="s">
        <v>520</v>
      </c>
    </row>
    <row r="70" spans="1:19" s="86" customFormat="1" ht="20.25" customHeight="1" x14ac:dyDescent="0.15">
      <c r="A70" s="85"/>
      <c r="B70" s="2" t="s">
        <v>521</v>
      </c>
      <c r="C70" s="87"/>
      <c r="D70" s="87"/>
      <c r="E70" s="87"/>
    </row>
    <row r="71" spans="1:19" s="86" customFormat="1" ht="20.25" customHeight="1" x14ac:dyDescent="0.15">
      <c r="A71" s="85"/>
      <c r="B71" s="2" t="s">
        <v>522</v>
      </c>
      <c r="C71" s="87"/>
      <c r="D71" s="87"/>
      <c r="E71" s="87"/>
    </row>
    <row r="72" spans="1:19" ht="20.25" customHeight="1" x14ac:dyDescent="0.15">
      <c r="A72" s="92"/>
      <c r="B72" s="2" t="s">
        <v>523</v>
      </c>
      <c r="C72" s="86"/>
      <c r="D72" s="86"/>
      <c r="E72" s="86"/>
      <c r="F72" s="3"/>
      <c r="G72" s="3"/>
      <c r="H72" s="3"/>
      <c r="I72" s="3"/>
      <c r="J72" s="3"/>
      <c r="K72" s="3"/>
    </row>
    <row r="73" spans="1:19" ht="20.25" customHeight="1" x14ac:dyDescent="0.15">
      <c r="A73" s="92"/>
      <c r="B73" s="2"/>
      <c r="C73" s="86"/>
      <c r="D73" s="86"/>
      <c r="E73" s="86"/>
      <c r="F73" s="3"/>
      <c r="G73" s="3"/>
      <c r="H73" s="3"/>
      <c r="I73" s="3"/>
      <c r="J73" s="3"/>
      <c r="K73" s="3"/>
    </row>
    <row r="74" spans="1:19" ht="20.25" customHeight="1" x14ac:dyDescent="0.15">
      <c r="B74" s="91" t="s">
        <v>524</v>
      </c>
      <c r="C74" s="86"/>
      <c r="D74" s="86"/>
      <c r="E74" s="86"/>
    </row>
    <row r="75" spans="1:19" ht="20.25" customHeight="1" x14ac:dyDescent="0.15">
      <c r="C75" s="3"/>
      <c r="D75" s="3"/>
      <c r="E75" s="3"/>
    </row>
    <row r="76" spans="1:19" ht="20.25" customHeight="1" x14ac:dyDescent="0.15">
      <c r="B76" s="2" t="s">
        <v>525</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pageSetUpPr fitToPage="1"/>
  </sheetPr>
  <dimension ref="A2:AK497"/>
  <sheetViews>
    <sheetView view="pageBreakPreview" zoomScale="70" zoomScaleNormal="75" zoomScaleSheetLayoutView="70" workbookViewId="0"/>
  </sheetViews>
  <sheetFormatPr defaultRowHeight="13.5" x14ac:dyDescent="0.15"/>
  <cols>
    <col min="1" max="2" width="4.25" style="102"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25" style="103" customWidth="1"/>
    <col min="25" max="32" width="4.875" style="103" customWidth="1"/>
    <col min="33" max="33" width="13.375" style="103" hidden="1" customWidth="1"/>
    <col min="34" max="38" width="0" style="103" hidden="1" customWidth="1"/>
    <col min="39" max="16384" width="9" style="103"/>
  </cols>
  <sheetData>
    <row r="2" spans="1:37" ht="20.25" customHeight="1" x14ac:dyDescent="0.15">
      <c r="A2" s="279" t="s">
        <v>558</v>
      </c>
      <c r="B2" s="279"/>
    </row>
    <row r="3" spans="1:37" ht="20.25" customHeight="1" x14ac:dyDescent="0.15">
      <c r="A3" s="317" t="s">
        <v>410</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7" ht="20.25" customHeight="1" x14ac:dyDescent="0.15"/>
    <row r="5" spans="1:37" ht="27" customHeight="1" x14ac:dyDescent="0.15">
      <c r="I5" s="321" t="s">
        <v>560</v>
      </c>
      <c r="J5" s="321"/>
      <c r="K5" s="321"/>
      <c r="L5" s="321"/>
      <c r="M5" s="321"/>
      <c r="N5" s="321"/>
      <c r="O5" s="321"/>
      <c r="P5" s="321"/>
      <c r="Q5" s="321"/>
      <c r="R5" s="321"/>
      <c r="S5" s="321"/>
      <c r="T5" s="321"/>
      <c r="U5" s="321"/>
      <c r="V5" s="321"/>
      <c r="W5" s="321"/>
      <c r="X5" s="319" t="s">
        <v>84</v>
      </c>
      <c r="Y5" s="319"/>
      <c r="Z5" s="320"/>
      <c r="AA5" s="322" t="s">
        <v>561</v>
      </c>
      <c r="AB5" s="323"/>
      <c r="AC5" s="323"/>
      <c r="AD5" s="323"/>
      <c r="AE5" s="323"/>
      <c r="AF5" s="324"/>
    </row>
    <row r="6" spans="1:37" ht="27.75" customHeight="1" x14ac:dyDescent="0.15">
      <c r="I6" s="321" t="s">
        <v>21</v>
      </c>
      <c r="J6" s="321"/>
      <c r="K6" s="321"/>
      <c r="L6" s="321"/>
      <c r="M6" s="321"/>
      <c r="N6" s="325" t="s">
        <v>562</v>
      </c>
      <c r="O6" s="325"/>
      <c r="P6" s="325"/>
      <c r="Q6" s="325"/>
      <c r="R6" s="325"/>
      <c r="S6" s="325"/>
      <c r="T6" s="325"/>
      <c r="U6" s="325"/>
      <c r="V6" s="325"/>
      <c r="W6" s="325"/>
      <c r="X6" s="321" t="s">
        <v>563</v>
      </c>
      <c r="Y6" s="321"/>
      <c r="Z6" s="321"/>
      <c r="AA6" s="120"/>
      <c r="AB6" s="121" t="s">
        <v>36</v>
      </c>
      <c r="AC6" s="121"/>
      <c r="AD6" s="121" t="s">
        <v>553</v>
      </c>
      <c r="AE6" s="121"/>
      <c r="AF6" s="122" t="s">
        <v>554</v>
      </c>
    </row>
    <row r="7" spans="1:37" ht="20.25" customHeight="1" x14ac:dyDescent="0.15">
      <c r="AG7" s="119"/>
    </row>
    <row r="8" spans="1:37" ht="17.25" customHeight="1" x14ac:dyDescent="0.15">
      <c r="A8" s="318" t="s">
        <v>85</v>
      </c>
      <c r="B8" s="319"/>
      <c r="C8" s="320"/>
      <c r="D8" s="318" t="s">
        <v>1</v>
      </c>
      <c r="E8" s="320"/>
      <c r="F8" s="318" t="s">
        <v>86</v>
      </c>
      <c r="G8" s="320"/>
      <c r="H8" s="318" t="s">
        <v>411</v>
      </c>
      <c r="I8" s="319"/>
      <c r="J8" s="319"/>
      <c r="K8" s="319"/>
      <c r="L8" s="319"/>
      <c r="M8" s="319"/>
      <c r="N8" s="319"/>
      <c r="O8" s="319"/>
      <c r="P8" s="319"/>
      <c r="Q8" s="319"/>
      <c r="R8" s="319"/>
      <c r="S8" s="319"/>
      <c r="T8" s="319"/>
      <c r="U8" s="319"/>
      <c r="V8" s="319"/>
      <c r="W8" s="319"/>
      <c r="X8" s="320"/>
      <c r="Y8" s="318" t="s">
        <v>195</v>
      </c>
      <c r="Z8" s="319"/>
      <c r="AA8" s="319"/>
      <c r="AB8" s="320"/>
      <c r="AC8" s="318" t="s">
        <v>87</v>
      </c>
      <c r="AD8" s="319"/>
      <c r="AE8" s="319"/>
      <c r="AF8" s="320"/>
      <c r="AG8" s="119"/>
    </row>
    <row r="9" spans="1:37" ht="18.75" customHeight="1" x14ac:dyDescent="0.15">
      <c r="A9" s="334" t="s">
        <v>88</v>
      </c>
      <c r="B9" s="335"/>
      <c r="C9" s="336"/>
      <c r="D9" s="268"/>
      <c r="E9" s="213"/>
      <c r="F9" s="133"/>
      <c r="G9" s="213"/>
      <c r="H9" s="340" t="s">
        <v>89</v>
      </c>
      <c r="I9" s="136" t="s">
        <v>348</v>
      </c>
      <c r="J9" s="124" t="s">
        <v>204</v>
      </c>
      <c r="K9" s="125"/>
      <c r="L9" s="125"/>
      <c r="M9" s="136" t="s">
        <v>348</v>
      </c>
      <c r="N9" s="124" t="s">
        <v>205</v>
      </c>
      <c r="O9" s="125"/>
      <c r="P9" s="125"/>
      <c r="Q9" s="136" t="s">
        <v>348</v>
      </c>
      <c r="R9" s="124" t="s">
        <v>206</v>
      </c>
      <c r="S9" s="125"/>
      <c r="T9" s="125"/>
      <c r="U9" s="136" t="s">
        <v>348</v>
      </c>
      <c r="V9" s="124" t="s">
        <v>207</v>
      </c>
      <c r="W9" s="125"/>
      <c r="X9" s="126"/>
      <c r="Y9" s="311"/>
      <c r="Z9" s="312"/>
      <c r="AA9" s="312"/>
      <c r="AB9" s="313"/>
      <c r="AC9" s="311"/>
      <c r="AD9" s="312"/>
      <c r="AE9" s="312"/>
      <c r="AF9" s="313"/>
      <c r="AG9" s="119" t="str">
        <f>"tiikikbn_code:"&amp; IF(I9="■",1,IF(M9="■",6,IF(Q9="■",7,IF(U9="■",2,IF(I10="■",3,IF(M10="■",4,IF(Q10="■",9,IF(U10="■",5,0))))))))</f>
        <v>tiikikbn_code:0</v>
      </c>
    </row>
    <row r="10" spans="1:37" ht="18.75" customHeight="1" x14ac:dyDescent="0.15">
      <c r="A10" s="396"/>
      <c r="B10" s="397"/>
      <c r="C10" s="398"/>
      <c r="D10" s="270"/>
      <c r="E10" s="216"/>
      <c r="F10" s="173"/>
      <c r="G10" s="216"/>
      <c r="H10" s="399"/>
      <c r="I10" s="271" t="s">
        <v>348</v>
      </c>
      <c r="J10" s="99" t="s">
        <v>208</v>
      </c>
      <c r="K10" s="272"/>
      <c r="L10" s="272"/>
      <c r="M10" s="200" t="s">
        <v>348</v>
      </c>
      <c r="N10" s="99" t="s">
        <v>209</v>
      </c>
      <c r="O10" s="272"/>
      <c r="P10" s="272"/>
      <c r="Q10" s="200" t="s">
        <v>348</v>
      </c>
      <c r="R10" s="99" t="s">
        <v>210</v>
      </c>
      <c r="S10" s="272"/>
      <c r="T10" s="272"/>
      <c r="U10" s="200" t="s">
        <v>348</v>
      </c>
      <c r="V10" s="99" t="s">
        <v>211</v>
      </c>
      <c r="W10" s="272"/>
      <c r="X10" s="174"/>
      <c r="Y10" s="351"/>
      <c r="Z10" s="352"/>
      <c r="AA10" s="352"/>
      <c r="AB10" s="353"/>
      <c r="AC10" s="351"/>
      <c r="AD10" s="352"/>
      <c r="AE10" s="352"/>
      <c r="AF10" s="353"/>
      <c r="AG10" s="119"/>
    </row>
    <row r="11" spans="1:37" ht="19.5" customHeight="1" x14ac:dyDescent="0.15">
      <c r="A11" s="107"/>
      <c r="B11" s="108"/>
      <c r="C11" s="109"/>
      <c r="D11" s="133"/>
      <c r="E11" s="111"/>
      <c r="F11" s="112"/>
      <c r="G11" s="113"/>
      <c r="H11" s="257" t="s">
        <v>369</v>
      </c>
      <c r="I11" s="143" t="s">
        <v>348</v>
      </c>
      <c r="J11" s="115" t="s">
        <v>360</v>
      </c>
      <c r="K11" s="166"/>
      <c r="L11" s="116"/>
      <c r="M11" s="191" t="s">
        <v>348</v>
      </c>
      <c r="N11" s="115" t="s">
        <v>370</v>
      </c>
      <c r="O11" s="115"/>
      <c r="P11" s="115"/>
      <c r="Q11" s="145"/>
      <c r="R11" s="145"/>
      <c r="S11" s="145"/>
      <c r="T11" s="145"/>
      <c r="U11" s="145"/>
      <c r="V11" s="145"/>
      <c r="W11" s="145"/>
      <c r="X11" s="146"/>
      <c r="Y11" s="123" t="s">
        <v>348</v>
      </c>
      <c r="Z11" s="104" t="s">
        <v>215</v>
      </c>
      <c r="AA11" s="104"/>
      <c r="AB11" s="106"/>
      <c r="AC11" s="123" t="s">
        <v>348</v>
      </c>
      <c r="AD11" s="104" t="s">
        <v>215</v>
      </c>
      <c r="AE11" s="104"/>
      <c r="AF11" s="106"/>
      <c r="AG11" s="119" t="str">
        <f>"ser_code = '" &amp; IF(A16="■",62,"") &amp; "'"</f>
        <v>ser_code = ''</v>
      </c>
      <c r="AI11" s="119" t="str">
        <f>"62:field223:" &amp; IF(I11="■",1,IF(M11="■",2,0))</f>
        <v>62:field223:0</v>
      </c>
      <c r="AJ11" s="119" t="str">
        <f>"62:field203:" &amp; IF(Y11="■",1,IF(Y12="■",2,0))</f>
        <v>62:field203:0</v>
      </c>
      <c r="AK11" s="119" t="str">
        <f>"62:waribiki_code:" &amp; IF(AC11="■",1,IF(AC12="■",2,0))</f>
        <v>62:waribiki_code:0</v>
      </c>
    </row>
    <row r="12" spans="1:37" s="119" customFormat="1" ht="19.5" customHeight="1" x14ac:dyDescent="0.15">
      <c r="A12" s="107"/>
      <c r="B12" s="108"/>
      <c r="C12" s="109"/>
      <c r="D12" s="110"/>
      <c r="E12" s="111"/>
      <c r="F12" s="112"/>
      <c r="G12" s="113"/>
      <c r="H12" s="114" t="s">
        <v>390</v>
      </c>
      <c r="I12" s="148" t="s">
        <v>348</v>
      </c>
      <c r="J12" s="149" t="s">
        <v>360</v>
      </c>
      <c r="K12" s="150"/>
      <c r="L12" s="151"/>
      <c r="M12" s="152" t="s">
        <v>348</v>
      </c>
      <c r="N12" s="149" t="s">
        <v>370</v>
      </c>
      <c r="O12" s="153"/>
      <c r="P12" s="149"/>
      <c r="Q12" s="154"/>
      <c r="R12" s="154"/>
      <c r="S12" s="154"/>
      <c r="T12" s="154"/>
      <c r="U12" s="154"/>
      <c r="V12" s="154"/>
      <c r="W12" s="154"/>
      <c r="X12" s="155"/>
      <c r="Y12" s="123" t="s">
        <v>348</v>
      </c>
      <c r="Z12" s="104" t="s">
        <v>221</v>
      </c>
      <c r="AA12" s="105"/>
      <c r="AB12" s="106"/>
      <c r="AC12" s="123" t="s">
        <v>348</v>
      </c>
      <c r="AD12" s="104" t="s">
        <v>221</v>
      </c>
      <c r="AE12" s="105"/>
      <c r="AF12" s="106"/>
      <c r="AI12" s="119" t="str">
        <f>"62:field232:" &amp; IF(I12="■",1,IF(M12="■",2,0))</f>
        <v>62:field232:0</v>
      </c>
    </row>
    <row r="13" spans="1:37" ht="18.75" customHeight="1" x14ac:dyDescent="0.15">
      <c r="A13" s="107"/>
      <c r="B13" s="108"/>
      <c r="C13" s="109"/>
      <c r="D13" s="110"/>
      <c r="E13" s="111"/>
      <c r="F13" s="112"/>
      <c r="G13" s="113"/>
      <c r="H13" s="190" t="s">
        <v>127</v>
      </c>
      <c r="I13" s="123" t="s">
        <v>348</v>
      </c>
      <c r="J13" s="115" t="s">
        <v>216</v>
      </c>
      <c r="K13" s="166"/>
      <c r="L13" s="123" t="s">
        <v>348</v>
      </c>
      <c r="M13" s="115" t="s">
        <v>232</v>
      </c>
      <c r="N13" s="115"/>
      <c r="O13" s="115"/>
      <c r="P13" s="115"/>
      <c r="Q13" s="115"/>
      <c r="R13" s="115"/>
      <c r="S13" s="115"/>
      <c r="T13" s="115"/>
      <c r="U13" s="115"/>
      <c r="V13" s="115"/>
      <c r="W13" s="115"/>
      <c r="X13" s="161"/>
      <c r="Z13" s="104"/>
      <c r="AA13" s="105"/>
      <c r="AB13" s="106"/>
      <c r="AD13" s="104"/>
      <c r="AE13" s="105"/>
      <c r="AF13" s="106"/>
      <c r="AG13" s="119"/>
      <c r="AI13" s="119" t="str">
        <f>"62:tokutiiki_code:" &amp; IF(I13="■",1,IF(L13="■",2,0))</f>
        <v>62:tokutiiki_code:0</v>
      </c>
    </row>
    <row r="14" spans="1:37" ht="18.75" customHeight="1" x14ac:dyDescent="0.15">
      <c r="A14" s="107"/>
      <c r="B14" s="108"/>
      <c r="C14" s="109"/>
      <c r="D14" s="110"/>
      <c r="E14" s="111"/>
      <c r="F14" s="112"/>
      <c r="G14" s="113"/>
      <c r="H14" s="329" t="s">
        <v>180</v>
      </c>
      <c r="I14" s="342" t="s">
        <v>348</v>
      </c>
      <c r="J14" s="343" t="s">
        <v>222</v>
      </c>
      <c r="K14" s="343"/>
      <c r="L14" s="343"/>
      <c r="M14" s="342" t="s">
        <v>348</v>
      </c>
      <c r="N14" s="343" t="s">
        <v>223</v>
      </c>
      <c r="O14" s="343"/>
      <c r="P14" s="343"/>
      <c r="Q14" s="168"/>
      <c r="R14" s="168"/>
      <c r="S14" s="168"/>
      <c r="T14" s="168"/>
      <c r="U14" s="168"/>
      <c r="V14" s="168"/>
      <c r="W14" s="168"/>
      <c r="X14" s="169"/>
      <c r="AB14" s="106"/>
      <c r="AF14" s="106"/>
      <c r="AG14" s="280"/>
      <c r="AI14" s="119" t="str">
        <f>"62:chuusankanti_tiiki_code:" &amp; IF(I14="■",1,IF(M14="■",2,0))</f>
        <v>62:chuusankanti_tiiki_code:0</v>
      </c>
    </row>
    <row r="15" spans="1:37" ht="18.75" customHeight="1" x14ac:dyDescent="0.15">
      <c r="A15" s="107"/>
      <c r="B15" s="108"/>
      <c r="C15" s="109"/>
      <c r="D15" s="110"/>
      <c r="E15" s="111"/>
      <c r="F15" s="112"/>
      <c r="G15" s="113"/>
      <c r="H15" s="328"/>
      <c r="I15" s="331"/>
      <c r="J15" s="333"/>
      <c r="K15" s="333"/>
      <c r="L15" s="333"/>
      <c r="M15" s="331"/>
      <c r="N15" s="333"/>
      <c r="O15" s="333"/>
      <c r="P15" s="333"/>
      <c r="Q15" s="145"/>
      <c r="R15" s="145"/>
      <c r="S15" s="145"/>
      <c r="T15" s="145"/>
      <c r="U15" s="145"/>
      <c r="V15" s="145"/>
      <c r="W15" s="145"/>
      <c r="X15" s="146"/>
      <c r="Y15" s="147"/>
      <c r="Z15" s="105"/>
      <c r="AA15" s="105"/>
      <c r="AB15" s="106"/>
      <c r="AC15" s="147"/>
      <c r="AD15" s="105"/>
      <c r="AE15" s="105"/>
      <c r="AF15" s="106"/>
      <c r="AG15" s="280"/>
      <c r="AI15" s="119"/>
    </row>
    <row r="16" spans="1:37" ht="18.75" customHeight="1" x14ac:dyDescent="0.15">
      <c r="A16" s="128" t="s">
        <v>348</v>
      </c>
      <c r="B16" s="108">
        <v>62</v>
      </c>
      <c r="C16" s="109" t="s">
        <v>67</v>
      </c>
      <c r="D16" s="110"/>
      <c r="E16" s="111"/>
      <c r="F16" s="112"/>
      <c r="G16" s="113"/>
      <c r="H16" s="329" t="s">
        <v>181</v>
      </c>
      <c r="I16" s="342" t="s">
        <v>348</v>
      </c>
      <c r="J16" s="343" t="s">
        <v>222</v>
      </c>
      <c r="K16" s="343"/>
      <c r="L16" s="343"/>
      <c r="M16" s="342" t="s">
        <v>348</v>
      </c>
      <c r="N16" s="343" t="s">
        <v>223</v>
      </c>
      <c r="O16" s="343"/>
      <c r="P16" s="343"/>
      <c r="Q16" s="168"/>
      <c r="R16" s="168"/>
      <c r="S16" s="168"/>
      <c r="T16" s="168"/>
      <c r="U16" s="168"/>
      <c r="V16" s="168"/>
      <c r="W16" s="168"/>
      <c r="X16" s="169"/>
      <c r="Y16" s="147"/>
      <c r="Z16" s="105"/>
      <c r="AA16" s="105"/>
      <c r="AB16" s="106"/>
      <c r="AC16" s="147"/>
      <c r="AD16" s="105"/>
      <c r="AE16" s="105"/>
      <c r="AF16" s="106"/>
      <c r="AI16" s="119" t="str">
        <f>"62:chuusankanti_kibo_code:" &amp; IF(I16="■",1,IF(M16="■",2,0))</f>
        <v>62:chuusankanti_kibo_code:0</v>
      </c>
    </row>
    <row r="17" spans="1:36" ht="18.75" customHeight="1" x14ac:dyDescent="0.15">
      <c r="A17" s="107"/>
      <c r="B17" s="108"/>
      <c r="C17" s="109"/>
      <c r="D17" s="110"/>
      <c r="E17" s="111"/>
      <c r="F17" s="112"/>
      <c r="G17" s="113"/>
      <c r="H17" s="328"/>
      <c r="I17" s="331"/>
      <c r="J17" s="333"/>
      <c r="K17" s="333"/>
      <c r="L17" s="333"/>
      <c r="M17" s="331"/>
      <c r="N17" s="333"/>
      <c r="O17" s="333"/>
      <c r="P17" s="333"/>
      <c r="Q17" s="145"/>
      <c r="R17" s="145"/>
      <c r="S17" s="145"/>
      <c r="T17" s="145"/>
      <c r="U17" s="145"/>
      <c r="V17" s="145"/>
      <c r="W17" s="145"/>
      <c r="X17" s="146"/>
      <c r="Y17" s="147"/>
      <c r="Z17" s="105"/>
      <c r="AA17" s="105"/>
      <c r="AB17" s="106"/>
      <c r="AC17" s="147"/>
      <c r="AD17" s="105"/>
      <c r="AE17" s="105"/>
      <c r="AF17" s="106"/>
    </row>
    <row r="18" spans="1:36" ht="18.75" customHeight="1" x14ac:dyDescent="0.15">
      <c r="A18" s="107"/>
      <c r="B18" s="108"/>
      <c r="C18" s="109"/>
      <c r="D18" s="110"/>
      <c r="E18" s="111"/>
      <c r="F18" s="112"/>
      <c r="G18" s="113"/>
      <c r="H18" s="192" t="s">
        <v>109</v>
      </c>
      <c r="I18" s="281" t="s">
        <v>348</v>
      </c>
      <c r="J18" s="149" t="s">
        <v>216</v>
      </c>
      <c r="K18" s="149"/>
      <c r="L18" s="152" t="s">
        <v>348</v>
      </c>
      <c r="M18" s="149" t="s">
        <v>217</v>
      </c>
      <c r="N18" s="149"/>
      <c r="O18" s="152" t="s">
        <v>348</v>
      </c>
      <c r="P18" s="149" t="s">
        <v>218</v>
      </c>
      <c r="Q18" s="154"/>
      <c r="R18" s="150"/>
      <c r="S18" s="150"/>
      <c r="T18" s="150"/>
      <c r="U18" s="150"/>
      <c r="V18" s="150"/>
      <c r="W18" s="150"/>
      <c r="X18" s="159"/>
      <c r="Y18" s="147"/>
      <c r="Z18" s="105"/>
      <c r="AA18" s="105"/>
      <c r="AB18" s="106"/>
      <c r="AC18" s="147"/>
      <c r="AD18" s="105"/>
      <c r="AE18" s="105"/>
      <c r="AF18" s="106"/>
      <c r="AI18" s="119" t="str">
        <f>"62:ninti_senmoncare_code:" &amp; IF(I18="■",1,IF(O18="■",3,IF(L18="■",2,0)))</f>
        <v>62:ninti_senmoncare_code:0</v>
      </c>
    </row>
    <row r="19" spans="1:36" ht="18.75" customHeight="1" x14ac:dyDescent="0.15">
      <c r="A19" s="107"/>
      <c r="B19" s="108"/>
      <c r="C19" s="109"/>
      <c r="D19" s="110"/>
      <c r="E19" s="111"/>
      <c r="F19" s="112"/>
      <c r="G19" s="113"/>
      <c r="H19" s="230" t="s">
        <v>111</v>
      </c>
      <c r="I19" s="148" t="s">
        <v>348</v>
      </c>
      <c r="J19" s="149" t="s">
        <v>216</v>
      </c>
      <c r="K19" s="115"/>
      <c r="L19" s="152" t="s">
        <v>348</v>
      </c>
      <c r="M19" s="149" t="s">
        <v>228</v>
      </c>
      <c r="N19" s="149"/>
      <c r="O19" s="152" t="s">
        <v>348</v>
      </c>
      <c r="P19" s="149" t="s">
        <v>218</v>
      </c>
      <c r="Q19" s="149"/>
      <c r="R19" s="152" t="s">
        <v>348</v>
      </c>
      <c r="S19" s="115" t="s">
        <v>229</v>
      </c>
      <c r="T19" s="115"/>
      <c r="U19" s="149"/>
      <c r="V19" s="149"/>
      <c r="W19" s="149"/>
      <c r="X19" s="158"/>
      <c r="Y19" s="147"/>
      <c r="Z19" s="105"/>
      <c r="AA19" s="105"/>
      <c r="AB19" s="106"/>
      <c r="AC19" s="147"/>
      <c r="AD19" s="105"/>
      <c r="AE19" s="105"/>
      <c r="AF19" s="106"/>
      <c r="AI19" s="119" t="str">
        <f>"62:serteikyo_kyoka_code:" &amp; IF(I19="■",1,IF(L19="■",4,IF(O19="■",3,IF(R19="■",5,0))))</f>
        <v>62:serteikyo_kyoka_code:0</v>
      </c>
    </row>
    <row r="20" spans="1:36" ht="18.75" customHeight="1" x14ac:dyDescent="0.15">
      <c r="A20" s="170"/>
      <c r="B20" s="108"/>
      <c r="C20" s="172"/>
      <c r="D20" s="173"/>
      <c r="E20" s="174"/>
      <c r="F20" s="175"/>
      <c r="G20" s="176"/>
      <c r="H20" s="95" t="s">
        <v>405</v>
      </c>
      <c r="I20" s="177" t="s">
        <v>348</v>
      </c>
      <c r="J20" s="96" t="s">
        <v>216</v>
      </c>
      <c r="K20" s="96"/>
      <c r="L20" s="178" t="s">
        <v>348</v>
      </c>
      <c r="M20" s="96" t="s">
        <v>373</v>
      </c>
      <c r="N20" s="97"/>
      <c r="O20" s="178" t="s">
        <v>348</v>
      </c>
      <c r="P20" s="99" t="s">
        <v>374</v>
      </c>
      <c r="Q20" s="98"/>
      <c r="R20" s="178" t="s">
        <v>348</v>
      </c>
      <c r="S20" s="96" t="s">
        <v>375</v>
      </c>
      <c r="T20" s="98"/>
      <c r="U20" s="178" t="s">
        <v>348</v>
      </c>
      <c r="V20" s="96" t="s">
        <v>376</v>
      </c>
      <c r="W20" s="100"/>
      <c r="X20" s="101"/>
      <c r="Y20" s="179"/>
      <c r="Z20" s="179"/>
      <c r="AA20" s="179"/>
      <c r="AB20" s="180"/>
      <c r="AC20" s="181"/>
      <c r="AD20" s="179"/>
      <c r="AE20" s="179"/>
      <c r="AF20" s="180"/>
      <c r="AG20" s="119"/>
      <c r="AH20" s="119"/>
      <c r="AI20" s="119" t="str">
        <f>"62:shoguukaizen_code:"&amp;IF(I20="■",1,IF(L20="■",7,IF(O20="■",8,IF(R20="■",9,IF(U20="■","A",0)))))</f>
        <v>62:shoguukaizen_code:0</v>
      </c>
    </row>
    <row r="21" spans="1:36" ht="19.5" customHeight="1" x14ac:dyDescent="0.15">
      <c r="A21" s="107"/>
      <c r="B21" s="131"/>
      <c r="C21" s="109"/>
      <c r="D21" s="110"/>
      <c r="E21" s="111"/>
      <c r="F21" s="112"/>
      <c r="G21" s="113"/>
      <c r="H21" s="282" t="s">
        <v>369</v>
      </c>
      <c r="I21" s="143" t="s">
        <v>348</v>
      </c>
      <c r="J21" s="115" t="s">
        <v>360</v>
      </c>
      <c r="K21" s="166"/>
      <c r="L21" s="116"/>
      <c r="M21" s="191" t="s">
        <v>348</v>
      </c>
      <c r="N21" s="115" t="s">
        <v>370</v>
      </c>
      <c r="O21" s="115"/>
      <c r="P21" s="115"/>
      <c r="Q21" s="145"/>
      <c r="R21" s="145"/>
      <c r="S21" s="145"/>
      <c r="T21" s="145"/>
      <c r="U21" s="145"/>
      <c r="V21" s="145"/>
      <c r="W21" s="145"/>
      <c r="X21" s="146"/>
      <c r="Y21" s="123" t="s">
        <v>348</v>
      </c>
      <c r="Z21" s="104" t="s">
        <v>215</v>
      </c>
      <c r="AA21" s="104"/>
      <c r="AB21" s="106"/>
      <c r="AC21" s="314"/>
      <c r="AD21" s="315"/>
      <c r="AE21" s="315"/>
      <c r="AF21" s="316"/>
      <c r="AG21" s="119" t="str">
        <f>"ser_code = '" &amp; IF(A27="■",63,"") &amp; "'"</f>
        <v>ser_code = ''</v>
      </c>
      <c r="AI21" s="119" t="str">
        <f>"63:field223:" &amp; IF(I21="■",1,IF(M21="■",2,0))</f>
        <v>63:field223:0</v>
      </c>
      <c r="AJ21" s="119" t="str">
        <f>"63:field203:" &amp; IF(Y21="■",1,IF(Y22="■",2,0))</f>
        <v>63:field203:0</v>
      </c>
    </row>
    <row r="22" spans="1:36" s="119" customFormat="1" ht="19.5" customHeight="1" x14ac:dyDescent="0.15">
      <c r="A22" s="107"/>
      <c r="B22" s="108"/>
      <c r="C22" s="109"/>
      <c r="D22" s="110"/>
      <c r="E22" s="111"/>
      <c r="F22" s="112"/>
      <c r="G22" s="113"/>
      <c r="H22" s="114" t="s">
        <v>390</v>
      </c>
      <c r="I22" s="148" t="s">
        <v>348</v>
      </c>
      <c r="J22" s="149" t="s">
        <v>360</v>
      </c>
      <c r="K22" s="150"/>
      <c r="L22" s="151"/>
      <c r="M22" s="152" t="s">
        <v>348</v>
      </c>
      <c r="N22" s="149" t="s">
        <v>370</v>
      </c>
      <c r="O22" s="153"/>
      <c r="P22" s="149"/>
      <c r="Q22" s="154"/>
      <c r="R22" s="154"/>
      <c r="S22" s="154"/>
      <c r="T22" s="154"/>
      <c r="U22" s="154"/>
      <c r="V22" s="154"/>
      <c r="W22" s="154"/>
      <c r="X22" s="155"/>
      <c r="Y22" s="123" t="s">
        <v>348</v>
      </c>
      <c r="Z22" s="104" t="s">
        <v>221</v>
      </c>
      <c r="AA22" s="105"/>
      <c r="AB22" s="106"/>
      <c r="AC22" s="314"/>
      <c r="AD22" s="315"/>
      <c r="AE22" s="315"/>
      <c r="AF22" s="316"/>
      <c r="AG22" s="119" t="str">
        <f>"63:sisetukbn_code:" &amp; IF(D27="■",1,IF(D28="■",2,0))</f>
        <v>63:sisetukbn_code:0</v>
      </c>
      <c r="AI22" s="119" t="str">
        <f>"63:field232:" &amp; IF(I22="■",1,IF(M22="■",2,0))</f>
        <v>63:field232:0</v>
      </c>
    </row>
    <row r="23" spans="1:36" ht="18.75" customHeight="1" x14ac:dyDescent="0.15">
      <c r="A23" s="107"/>
      <c r="B23" s="108"/>
      <c r="C23" s="109"/>
      <c r="D23" s="110"/>
      <c r="E23" s="111"/>
      <c r="F23" s="112"/>
      <c r="G23" s="113"/>
      <c r="H23" s="190" t="s">
        <v>127</v>
      </c>
      <c r="I23" s="123" t="s">
        <v>348</v>
      </c>
      <c r="J23" s="115" t="s">
        <v>216</v>
      </c>
      <c r="K23" s="166"/>
      <c r="L23" s="123" t="s">
        <v>348</v>
      </c>
      <c r="M23" s="115" t="s">
        <v>232</v>
      </c>
      <c r="N23" s="115"/>
      <c r="O23" s="115"/>
      <c r="P23" s="115"/>
      <c r="Q23" s="145"/>
      <c r="R23" s="145"/>
      <c r="S23" s="145"/>
      <c r="T23" s="145"/>
      <c r="U23" s="145"/>
      <c r="V23" s="145"/>
      <c r="W23" s="145"/>
      <c r="X23" s="146"/>
      <c r="Z23" s="104"/>
      <c r="AA23" s="105"/>
      <c r="AB23" s="106"/>
      <c r="AC23" s="314"/>
      <c r="AD23" s="315"/>
      <c r="AE23" s="315"/>
      <c r="AF23" s="316"/>
      <c r="AG23" s="119"/>
      <c r="AI23" s="119" t="str">
        <f>"63:tokutiiki_code:" &amp; IF(I23="■",1,IF(L23="■",2,0))</f>
        <v>63:tokutiiki_code:0</v>
      </c>
    </row>
    <row r="24" spans="1:36" ht="18.75" customHeight="1" x14ac:dyDescent="0.15">
      <c r="A24" s="107"/>
      <c r="B24" s="108"/>
      <c r="C24" s="109"/>
      <c r="D24" s="110"/>
      <c r="E24" s="111"/>
      <c r="F24" s="112"/>
      <c r="G24" s="113"/>
      <c r="H24" s="329" t="s">
        <v>180</v>
      </c>
      <c r="I24" s="342" t="s">
        <v>348</v>
      </c>
      <c r="J24" s="343" t="s">
        <v>222</v>
      </c>
      <c r="K24" s="343"/>
      <c r="L24" s="343"/>
      <c r="M24" s="342" t="s">
        <v>348</v>
      </c>
      <c r="N24" s="343" t="s">
        <v>223</v>
      </c>
      <c r="O24" s="343"/>
      <c r="P24" s="343"/>
      <c r="Q24" s="168"/>
      <c r="R24" s="168"/>
      <c r="S24" s="168"/>
      <c r="T24" s="168"/>
      <c r="U24" s="168"/>
      <c r="V24" s="168"/>
      <c r="W24" s="168"/>
      <c r="X24" s="169"/>
      <c r="AB24" s="106"/>
      <c r="AC24" s="314"/>
      <c r="AD24" s="315"/>
      <c r="AE24" s="315"/>
      <c r="AF24" s="316"/>
      <c r="AI24" s="119" t="str">
        <f>"63:chuusankanti_tiiki_code:" &amp; IF(I24="■",1,IF(M24="■",2,0))</f>
        <v>63:chuusankanti_tiiki_code:0</v>
      </c>
    </row>
    <row r="25" spans="1:36" ht="18.75" customHeight="1" x14ac:dyDescent="0.15">
      <c r="A25" s="107"/>
      <c r="B25" s="108"/>
      <c r="C25" s="109"/>
      <c r="D25" s="110"/>
      <c r="E25" s="111"/>
      <c r="F25" s="112"/>
      <c r="G25" s="113"/>
      <c r="H25" s="328"/>
      <c r="I25" s="331"/>
      <c r="J25" s="333"/>
      <c r="K25" s="333"/>
      <c r="L25" s="333"/>
      <c r="M25" s="331"/>
      <c r="N25" s="333"/>
      <c r="O25" s="333"/>
      <c r="P25" s="333"/>
      <c r="Q25" s="145"/>
      <c r="R25" s="145"/>
      <c r="S25" s="145"/>
      <c r="T25" s="145"/>
      <c r="U25" s="145"/>
      <c r="V25" s="145"/>
      <c r="W25" s="145"/>
      <c r="X25" s="146"/>
      <c r="Y25" s="147"/>
      <c r="Z25" s="105"/>
      <c r="AA25" s="105"/>
      <c r="AB25" s="106"/>
      <c r="AC25" s="314"/>
      <c r="AD25" s="315"/>
      <c r="AE25" s="315"/>
      <c r="AF25" s="316"/>
      <c r="AG25" s="280"/>
      <c r="AI25" s="119"/>
    </row>
    <row r="26" spans="1:36" ht="18.75" customHeight="1" x14ac:dyDescent="0.15">
      <c r="A26" s="107"/>
      <c r="B26" s="108"/>
      <c r="C26" s="109"/>
      <c r="D26" s="110"/>
      <c r="E26" s="111"/>
      <c r="F26" s="112"/>
      <c r="G26" s="113"/>
      <c r="H26" s="329" t="s">
        <v>181</v>
      </c>
      <c r="I26" s="342" t="s">
        <v>348</v>
      </c>
      <c r="J26" s="343" t="s">
        <v>222</v>
      </c>
      <c r="K26" s="343"/>
      <c r="L26" s="343"/>
      <c r="M26" s="342" t="s">
        <v>348</v>
      </c>
      <c r="N26" s="343" t="s">
        <v>223</v>
      </c>
      <c r="O26" s="343"/>
      <c r="P26" s="343"/>
      <c r="Q26" s="168"/>
      <c r="R26" s="168"/>
      <c r="S26" s="168"/>
      <c r="T26" s="168"/>
      <c r="U26" s="168"/>
      <c r="V26" s="168"/>
      <c r="W26" s="168"/>
      <c r="X26" s="169"/>
      <c r="Y26" s="147"/>
      <c r="Z26" s="105"/>
      <c r="AA26" s="105"/>
      <c r="AB26" s="106"/>
      <c r="AC26" s="314"/>
      <c r="AD26" s="315"/>
      <c r="AE26" s="315"/>
      <c r="AF26" s="316"/>
      <c r="AG26" s="280"/>
      <c r="AI26" s="119" t="str">
        <f>"63:chuusankanti_kibo_code:" &amp; IF(I26="■",1,IF(M26="■",2,0))</f>
        <v>63:chuusankanti_kibo_code:0</v>
      </c>
    </row>
    <row r="27" spans="1:36" ht="18.75" customHeight="1" x14ac:dyDescent="0.15">
      <c r="A27" s="128" t="s">
        <v>348</v>
      </c>
      <c r="B27" s="108">
        <v>63</v>
      </c>
      <c r="C27" s="109" t="s">
        <v>412</v>
      </c>
      <c r="D27" s="123" t="s">
        <v>348</v>
      </c>
      <c r="E27" s="111" t="s">
        <v>241</v>
      </c>
      <c r="F27" s="112"/>
      <c r="G27" s="113"/>
      <c r="H27" s="328"/>
      <c r="I27" s="331"/>
      <c r="J27" s="333"/>
      <c r="K27" s="333"/>
      <c r="L27" s="333"/>
      <c r="M27" s="331"/>
      <c r="N27" s="333"/>
      <c r="O27" s="333"/>
      <c r="P27" s="333"/>
      <c r="Q27" s="145"/>
      <c r="R27" s="145"/>
      <c r="S27" s="145"/>
      <c r="T27" s="145"/>
      <c r="U27" s="145"/>
      <c r="V27" s="145"/>
      <c r="W27" s="145"/>
      <c r="X27" s="146"/>
      <c r="Y27" s="147"/>
      <c r="Z27" s="105"/>
      <c r="AA27" s="105"/>
      <c r="AB27" s="106"/>
      <c r="AC27" s="314"/>
      <c r="AD27" s="315"/>
      <c r="AE27" s="315"/>
      <c r="AF27" s="316"/>
    </row>
    <row r="28" spans="1:36" ht="18.75" customHeight="1" x14ac:dyDescent="0.15">
      <c r="A28" s="107"/>
      <c r="B28" s="108"/>
      <c r="C28" s="109"/>
      <c r="D28" s="123" t="s">
        <v>348</v>
      </c>
      <c r="E28" s="111" t="s">
        <v>239</v>
      </c>
      <c r="F28" s="112"/>
      <c r="G28" s="113"/>
      <c r="H28" s="230" t="s">
        <v>413</v>
      </c>
      <c r="I28" s="194" t="s">
        <v>348</v>
      </c>
      <c r="J28" s="149" t="s">
        <v>216</v>
      </c>
      <c r="K28" s="150"/>
      <c r="L28" s="152" t="s">
        <v>348</v>
      </c>
      <c r="M28" s="149" t="s">
        <v>233</v>
      </c>
      <c r="N28" s="149"/>
      <c r="O28" s="195" t="s">
        <v>348</v>
      </c>
      <c r="P28" s="160" t="s">
        <v>234</v>
      </c>
      <c r="Q28" s="154"/>
      <c r="R28" s="154"/>
      <c r="S28" s="154"/>
      <c r="T28" s="149"/>
      <c r="U28" s="154"/>
      <c r="V28" s="154"/>
      <c r="W28" s="154"/>
      <c r="X28" s="155"/>
      <c r="Y28" s="147"/>
      <c r="Z28" s="105"/>
      <c r="AA28" s="105"/>
      <c r="AB28" s="106"/>
      <c r="AC28" s="314"/>
      <c r="AD28" s="315"/>
      <c r="AE28" s="315"/>
      <c r="AF28" s="316"/>
      <c r="AI28" s="119" t="str">
        <f>"63:kinkyu_code:"&amp;IF(I28="■",1,IF(O28="■",3,IF(L28="■",2,0)))</f>
        <v>63:kinkyu_code:0</v>
      </c>
    </row>
    <row r="29" spans="1:36" ht="18.75" customHeight="1" x14ac:dyDescent="0.15">
      <c r="A29" s="107"/>
      <c r="B29" s="108"/>
      <c r="C29" s="109"/>
      <c r="D29" s="107"/>
      <c r="E29" s="111"/>
      <c r="F29" s="112"/>
      <c r="G29" s="113"/>
      <c r="H29" s="230" t="s">
        <v>414</v>
      </c>
      <c r="I29" s="148" t="s">
        <v>348</v>
      </c>
      <c r="J29" s="149" t="s">
        <v>230</v>
      </c>
      <c r="K29" s="150"/>
      <c r="L29" s="151"/>
      <c r="M29" s="123" t="s">
        <v>348</v>
      </c>
      <c r="N29" s="149" t="s">
        <v>231</v>
      </c>
      <c r="O29" s="154"/>
      <c r="P29" s="154"/>
      <c r="Q29" s="154"/>
      <c r="R29" s="154"/>
      <c r="S29" s="154"/>
      <c r="T29" s="154"/>
      <c r="U29" s="154"/>
      <c r="V29" s="154"/>
      <c r="W29" s="154"/>
      <c r="X29" s="155"/>
      <c r="Y29" s="147"/>
      <c r="Z29" s="105"/>
      <c r="AA29" s="105"/>
      <c r="AB29" s="106"/>
      <c r="AC29" s="314"/>
      <c r="AD29" s="315"/>
      <c r="AE29" s="315"/>
      <c r="AF29" s="316"/>
      <c r="AI29" s="119" t="str">
        <f>"63:tokukanri_code:" &amp; IF(I29="■",1,IF(M29="■",2,0))</f>
        <v>63:tokukanri_code:0</v>
      </c>
    </row>
    <row r="30" spans="1:36" ht="18.75" customHeight="1" x14ac:dyDescent="0.15">
      <c r="A30" s="107"/>
      <c r="B30" s="108"/>
      <c r="C30" s="109"/>
      <c r="D30" s="110"/>
      <c r="E30" s="111"/>
      <c r="F30" s="112"/>
      <c r="G30" s="113"/>
      <c r="H30" s="157" t="s">
        <v>379</v>
      </c>
      <c r="I30" s="194" t="s">
        <v>348</v>
      </c>
      <c r="J30" s="149" t="s">
        <v>216</v>
      </c>
      <c r="K30" s="150"/>
      <c r="L30" s="152" t="s">
        <v>348</v>
      </c>
      <c r="M30" s="149" t="s">
        <v>232</v>
      </c>
      <c r="N30" s="149"/>
      <c r="O30" s="196"/>
      <c r="P30" s="196"/>
      <c r="Q30" s="196"/>
      <c r="R30" s="196"/>
      <c r="S30" s="196"/>
      <c r="T30" s="196"/>
      <c r="U30" s="196"/>
      <c r="V30" s="196"/>
      <c r="W30" s="196"/>
      <c r="X30" s="197"/>
      <c r="Y30" s="147"/>
      <c r="Z30" s="105"/>
      <c r="AA30" s="105"/>
      <c r="AB30" s="106"/>
      <c r="AC30" s="314"/>
      <c r="AD30" s="315"/>
      <c r="AE30" s="315"/>
      <c r="AF30" s="316"/>
      <c r="AI30" s="119" t="str">
        <f>"63:field230:" &amp; IF(I30="■",1,IF(L30="■",2,0))</f>
        <v>63:field230:0</v>
      </c>
    </row>
    <row r="31" spans="1:36" ht="18.75" customHeight="1" x14ac:dyDescent="0.15">
      <c r="A31" s="107"/>
      <c r="B31" s="108"/>
      <c r="C31" s="109"/>
      <c r="D31" s="110"/>
      <c r="E31" s="111"/>
      <c r="F31" s="112"/>
      <c r="G31" s="113"/>
      <c r="H31" s="233" t="s">
        <v>415</v>
      </c>
      <c r="I31" s="148" t="s">
        <v>348</v>
      </c>
      <c r="J31" s="149" t="s">
        <v>216</v>
      </c>
      <c r="K31" s="150"/>
      <c r="L31" s="123" t="s">
        <v>348</v>
      </c>
      <c r="M31" s="149" t="s">
        <v>232</v>
      </c>
      <c r="N31" s="149"/>
      <c r="O31" s="149"/>
      <c r="P31" s="149"/>
      <c r="Q31" s="149"/>
      <c r="R31" s="149"/>
      <c r="S31" s="149"/>
      <c r="T31" s="149"/>
      <c r="U31" s="149"/>
      <c r="V31" s="149"/>
      <c r="W31" s="149"/>
      <c r="X31" s="158"/>
      <c r="Y31" s="147"/>
      <c r="Z31" s="105"/>
      <c r="AA31" s="105"/>
      <c r="AB31" s="106"/>
      <c r="AC31" s="314"/>
      <c r="AD31" s="315"/>
      <c r="AE31" s="315"/>
      <c r="AF31" s="316"/>
      <c r="AI31" s="119" t="str">
        <f>"63:field169:" &amp; IF(I31="■",1,IF(L31="■",2,0))</f>
        <v>63:field169:0</v>
      </c>
    </row>
    <row r="32" spans="1:36" ht="19.5" customHeight="1" x14ac:dyDescent="0.15">
      <c r="A32" s="107"/>
      <c r="B32" s="108"/>
      <c r="C32" s="109"/>
      <c r="D32" s="110"/>
      <c r="E32" s="111"/>
      <c r="F32" s="112"/>
      <c r="G32" s="113"/>
      <c r="H32" s="114" t="s">
        <v>372</v>
      </c>
      <c r="I32" s="148" t="s">
        <v>348</v>
      </c>
      <c r="J32" s="149" t="s">
        <v>216</v>
      </c>
      <c r="K32" s="149"/>
      <c r="L32" s="152" t="s">
        <v>348</v>
      </c>
      <c r="M32" s="149" t="s">
        <v>232</v>
      </c>
      <c r="N32" s="149"/>
      <c r="O32" s="154"/>
      <c r="P32" s="149"/>
      <c r="Q32" s="154"/>
      <c r="R32" s="154"/>
      <c r="S32" s="154"/>
      <c r="T32" s="154"/>
      <c r="U32" s="154"/>
      <c r="V32" s="154"/>
      <c r="W32" s="154"/>
      <c r="X32" s="155"/>
      <c r="Y32" s="105"/>
      <c r="Z32" s="105"/>
      <c r="AA32" s="105"/>
      <c r="AB32" s="106"/>
      <c r="AC32" s="314"/>
      <c r="AD32" s="315"/>
      <c r="AE32" s="315"/>
      <c r="AF32" s="316"/>
      <c r="AI32" s="119" t="str">
        <f>"63:field224:" &amp; IF(I32="■",1,IF(L32="■",2,0))</f>
        <v>63:field224:0</v>
      </c>
    </row>
    <row r="33" spans="1:36" ht="18.75" customHeight="1" x14ac:dyDescent="0.15">
      <c r="A33" s="170"/>
      <c r="B33" s="171"/>
      <c r="C33" s="172"/>
      <c r="D33" s="173"/>
      <c r="E33" s="174"/>
      <c r="F33" s="175"/>
      <c r="G33" s="176"/>
      <c r="H33" s="266" t="s">
        <v>111</v>
      </c>
      <c r="I33" s="177" t="s">
        <v>348</v>
      </c>
      <c r="J33" s="96" t="s">
        <v>216</v>
      </c>
      <c r="K33" s="96"/>
      <c r="L33" s="178" t="s">
        <v>348</v>
      </c>
      <c r="M33" s="96" t="s">
        <v>233</v>
      </c>
      <c r="N33" s="96"/>
      <c r="O33" s="178" t="s">
        <v>348</v>
      </c>
      <c r="P33" s="96" t="s">
        <v>242</v>
      </c>
      <c r="Q33" s="100"/>
      <c r="R33" s="218"/>
      <c r="S33" s="218"/>
      <c r="T33" s="218"/>
      <c r="U33" s="218"/>
      <c r="V33" s="218"/>
      <c r="W33" s="218"/>
      <c r="X33" s="267"/>
      <c r="Y33" s="181"/>
      <c r="Z33" s="179"/>
      <c r="AA33" s="179"/>
      <c r="AB33" s="180"/>
      <c r="AC33" s="351"/>
      <c r="AD33" s="352"/>
      <c r="AE33" s="352"/>
      <c r="AF33" s="353"/>
      <c r="AI33" s="119" t="str">
        <f>"63:serteikyo_kyoka_code:"&amp;IF(I33="■",1,IF(L33="■",3,IF(O33="■",4,0)))</f>
        <v>63:serteikyo_kyoka_code:0</v>
      </c>
    </row>
    <row r="34" spans="1:36" ht="19.5" customHeight="1" x14ac:dyDescent="0.15">
      <c r="A34" s="107"/>
      <c r="B34" s="131"/>
      <c r="C34" s="132"/>
      <c r="D34" s="110"/>
      <c r="E34" s="126"/>
      <c r="F34" s="134"/>
      <c r="G34" s="113"/>
      <c r="H34" s="257" t="s">
        <v>369</v>
      </c>
      <c r="I34" s="148" t="s">
        <v>348</v>
      </c>
      <c r="J34" s="149" t="s">
        <v>360</v>
      </c>
      <c r="K34" s="150"/>
      <c r="L34" s="151"/>
      <c r="M34" s="152" t="s">
        <v>348</v>
      </c>
      <c r="N34" s="149" t="s">
        <v>370</v>
      </c>
      <c r="O34" s="149"/>
      <c r="P34" s="149"/>
      <c r="Q34" s="154"/>
      <c r="R34" s="154"/>
      <c r="S34" s="154"/>
      <c r="T34" s="154"/>
      <c r="U34" s="154"/>
      <c r="V34" s="154"/>
      <c r="W34" s="154"/>
      <c r="X34" s="155"/>
      <c r="Y34" s="123" t="s">
        <v>348</v>
      </c>
      <c r="Z34" s="104" t="s">
        <v>215</v>
      </c>
      <c r="AA34" s="104"/>
      <c r="AB34" s="106"/>
      <c r="AC34" s="311"/>
      <c r="AD34" s="312"/>
      <c r="AE34" s="312"/>
      <c r="AF34" s="313"/>
      <c r="AG34" s="119" t="str">
        <f>"ser_code = '" &amp; IF(A38="■",64,"") &amp; "'"</f>
        <v>ser_code = ''</v>
      </c>
      <c r="AH34" s="119"/>
      <c r="AI34" s="119" t="str">
        <f>"64:field223:" &amp; IF(I34="■",1,IF(M34="■",2,0))</f>
        <v>64:field223:0</v>
      </c>
      <c r="AJ34" s="119" t="str">
        <f>"64:field203:" &amp; IF(Y34="■",1,IF(Y35="■",2,0))</f>
        <v>64:field203:0</v>
      </c>
    </row>
    <row r="35" spans="1:36" s="119" customFormat="1" ht="19.5" customHeight="1" x14ac:dyDescent="0.15">
      <c r="A35" s="107"/>
      <c r="B35" s="108"/>
      <c r="C35" s="109"/>
      <c r="D35" s="110"/>
      <c r="E35" s="111"/>
      <c r="F35" s="112"/>
      <c r="G35" s="113"/>
      <c r="H35" s="114" t="s">
        <v>390</v>
      </c>
      <c r="I35" s="148" t="s">
        <v>348</v>
      </c>
      <c r="J35" s="149" t="s">
        <v>360</v>
      </c>
      <c r="K35" s="150"/>
      <c r="L35" s="151"/>
      <c r="M35" s="152" t="s">
        <v>348</v>
      </c>
      <c r="N35" s="149" t="s">
        <v>370</v>
      </c>
      <c r="O35" s="153"/>
      <c r="P35" s="149"/>
      <c r="Q35" s="154"/>
      <c r="R35" s="154"/>
      <c r="S35" s="154"/>
      <c r="T35" s="154"/>
      <c r="U35" s="154"/>
      <c r="V35" s="154"/>
      <c r="W35" s="154"/>
      <c r="X35" s="155"/>
      <c r="Y35" s="123" t="s">
        <v>348</v>
      </c>
      <c r="Z35" s="104" t="s">
        <v>221</v>
      </c>
      <c r="AA35" s="105"/>
      <c r="AB35" s="106"/>
      <c r="AC35" s="314"/>
      <c r="AD35" s="315"/>
      <c r="AE35" s="315"/>
      <c r="AF35" s="316"/>
      <c r="AG35" s="119" t="str">
        <f>"64:sisetukbn_code:" &amp; IF(D37="■",1,IF(D38="■",2,IF(D39="■",3,0)))</f>
        <v>64:sisetukbn_code:0</v>
      </c>
      <c r="AI35" s="119" t="str">
        <f>"64:field232:" &amp; IF(I35="■",1,IF(M35="■",2,0))</f>
        <v>64:field232:0</v>
      </c>
    </row>
    <row r="36" spans="1:36" ht="18.75" customHeight="1" x14ac:dyDescent="0.15">
      <c r="A36" s="107"/>
      <c r="B36" s="108"/>
      <c r="C36" s="224"/>
      <c r="D36" s="112"/>
      <c r="E36" s="111"/>
      <c r="F36" s="112"/>
      <c r="G36" s="113"/>
      <c r="H36" s="190" t="s">
        <v>127</v>
      </c>
      <c r="I36" s="123" t="s">
        <v>348</v>
      </c>
      <c r="J36" s="115" t="s">
        <v>216</v>
      </c>
      <c r="K36" s="166"/>
      <c r="L36" s="123" t="s">
        <v>348</v>
      </c>
      <c r="M36" s="115" t="s">
        <v>232</v>
      </c>
      <c r="N36" s="115"/>
      <c r="O36" s="115"/>
      <c r="P36" s="115"/>
      <c r="Q36" s="145"/>
      <c r="R36" s="145"/>
      <c r="S36" s="145"/>
      <c r="T36" s="145"/>
      <c r="U36" s="145"/>
      <c r="V36" s="145"/>
      <c r="W36" s="145"/>
      <c r="X36" s="146"/>
      <c r="Z36" s="104"/>
      <c r="AA36" s="105"/>
      <c r="AB36" s="106"/>
      <c r="AC36" s="314"/>
      <c r="AD36" s="315"/>
      <c r="AE36" s="315"/>
      <c r="AF36" s="316"/>
      <c r="AG36" s="119"/>
      <c r="AH36" s="119"/>
      <c r="AI36" s="119" t="str">
        <f>"64:tokutiiki_code:" &amp; IF(I36="■",1,IF(L36="■",2,0))</f>
        <v>64:tokutiiki_code:0</v>
      </c>
      <c r="AJ36" s="119"/>
    </row>
    <row r="37" spans="1:36" ht="18.75" customHeight="1" x14ac:dyDescent="0.15">
      <c r="A37" s="107"/>
      <c r="B37" s="108"/>
      <c r="C37" s="224"/>
      <c r="D37" s="123" t="s">
        <v>348</v>
      </c>
      <c r="E37" s="111" t="s">
        <v>366</v>
      </c>
      <c r="F37" s="112"/>
      <c r="G37" s="113"/>
      <c r="H37" s="329" t="s">
        <v>416</v>
      </c>
      <c r="I37" s="342" t="s">
        <v>348</v>
      </c>
      <c r="J37" s="343" t="s">
        <v>222</v>
      </c>
      <c r="K37" s="343"/>
      <c r="L37" s="343"/>
      <c r="M37" s="342" t="s">
        <v>348</v>
      </c>
      <c r="N37" s="343" t="s">
        <v>223</v>
      </c>
      <c r="O37" s="343"/>
      <c r="P37" s="343"/>
      <c r="Q37" s="168"/>
      <c r="R37" s="168"/>
      <c r="S37" s="168"/>
      <c r="T37" s="168"/>
      <c r="U37" s="168"/>
      <c r="V37" s="168"/>
      <c r="W37" s="168"/>
      <c r="X37" s="169"/>
      <c r="AB37" s="106"/>
      <c r="AC37" s="314"/>
      <c r="AD37" s="315"/>
      <c r="AE37" s="315"/>
      <c r="AF37" s="316"/>
      <c r="AG37" s="119"/>
      <c r="AH37" s="119"/>
      <c r="AI37" s="119" t="str">
        <f>"64:chuusankanti_tiiki_code:" &amp; IF(I37="■",1,IF(M37="■",2,0))</f>
        <v>64:chuusankanti_tiiki_code:0</v>
      </c>
      <c r="AJ37" s="119"/>
    </row>
    <row r="38" spans="1:36" ht="18.75" customHeight="1" x14ac:dyDescent="0.15">
      <c r="A38" s="128" t="s">
        <v>348</v>
      </c>
      <c r="B38" s="108">
        <v>64</v>
      </c>
      <c r="C38" s="224" t="s">
        <v>417</v>
      </c>
      <c r="D38" s="123" t="s">
        <v>348</v>
      </c>
      <c r="E38" s="111" t="s">
        <v>244</v>
      </c>
      <c r="F38" s="112"/>
      <c r="G38" s="113"/>
      <c r="H38" s="328"/>
      <c r="I38" s="331"/>
      <c r="J38" s="333"/>
      <c r="K38" s="333"/>
      <c r="L38" s="333"/>
      <c r="M38" s="331"/>
      <c r="N38" s="333"/>
      <c r="O38" s="333"/>
      <c r="P38" s="333"/>
      <c r="Q38" s="145"/>
      <c r="R38" s="145"/>
      <c r="S38" s="145"/>
      <c r="T38" s="145"/>
      <c r="U38" s="145"/>
      <c r="V38" s="145"/>
      <c r="W38" s="145"/>
      <c r="X38" s="146"/>
      <c r="Y38" s="147"/>
      <c r="Z38" s="105"/>
      <c r="AA38" s="105"/>
      <c r="AB38" s="106"/>
      <c r="AC38" s="314"/>
      <c r="AD38" s="315"/>
      <c r="AE38" s="315"/>
      <c r="AF38" s="316"/>
      <c r="AG38" s="119"/>
      <c r="AH38" s="119"/>
      <c r="AI38" s="119"/>
      <c r="AJ38" s="119"/>
    </row>
    <row r="39" spans="1:36" ht="18.75" customHeight="1" x14ac:dyDescent="0.15">
      <c r="A39" s="107"/>
      <c r="B39" s="108"/>
      <c r="C39" s="224" t="s">
        <v>418</v>
      </c>
      <c r="D39" s="123" t="s">
        <v>348</v>
      </c>
      <c r="E39" s="111" t="s">
        <v>245</v>
      </c>
      <c r="F39" s="112"/>
      <c r="G39" s="113"/>
      <c r="H39" s="329" t="s">
        <v>419</v>
      </c>
      <c r="I39" s="342" t="s">
        <v>348</v>
      </c>
      <c r="J39" s="343" t="s">
        <v>222</v>
      </c>
      <c r="K39" s="343"/>
      <c r="L39" s="343"/>
      <c r="M39" s="342" t="s">
        <v>348</v>
      </c>
      <c r="N39" s="343" t="s">
        <v>223</v>
      </c>
      <c r="O39" s="343"/>
      <c r="P39" s="343"/>
      <c r="Q39" s="168"/>
      <c r="R39" s="168"/>
      <c r="S39" s="168"/>
      <c r="T39" s="168"/>
      <c r="U39" s="168"/>
      <c r="V39" s="168"/>
      <c r="W39" s="168"/>
      <c r="X39" s="169"/>
      <c r="Y39" s="147"/>
      <c r="Z39" s="105"/>
      <c r="AA39" s="105"/>
      <c r="AB39" s="106"/>
      <c r="AC39" s="314"/>
      <c r="AD39" s="315"/>
      <c r="AE39" s="315"/>
      <c r="AF39" s="316"/>
      <c r="AI39" s="119" t="str">
        <f>"64:chuusankanti_kibo_code:" &amp; IF(I39="■",1,IF(M39="■",2,0))</f>
        <v>64:chuusankanti_kibo_code:0</v>
      </c>
    </row>
    <row r="40" spans="1:36" ht="18.75" customHeight="1" x14ac:dyDescent="0.15">
      <c r="A40" s="107"/>
      <c r="B40" s="108"/>
      <c r="C40" s="224"/>
      <c r="D40" s="110"/>
      <c r="E40" s="111"/>
      <c r="F40" s="112"/>
      <c r="G40" s="113"/>
      <c r="H40" s="328"/>
      <c r="I40" s="331"/>
      <c r="J40" s="333"/>
      <c r="K40" s="333"/>
      <c r="L40" s="333"/>
      <c r="M40" s="331"/>
      <c r="N40" s="333"/>
      <c r="O40" s="333"/>
      <c r="P40" s="333"/>
      <c r="Q40" s="145"/>
      <c r="R40" s="145"/>
      <c r="S40" s="145"/>
      <c r="T40" s="145"/>
      <c r="U40" s="145"/>
      <c r="V40" s="145"/>
      <c r="W40" s="145"/>
      <c r="X40" s="146"/>
      <c r="Y40" s="147"/>
      <c r="Z40" s="105"/>
      <c r="AA40" s="105"/>
      <c r="AB40" s="106"/>
      <c r="AC40" s="314"/>
      <c r="AD40" s="315"/>
      <c r="AE40" s="315"/>
      <c r="AF40" s="316"/>
    </row>
    <row r="41" spans="1:36" ht="19.5" customHeight="1" x14ac:dyDescent="0.15">
      <c r="A41" s="107"/>
      <c r="B41" s="108"/>
      <c r="C41" s="109"/>
      <c r="D41" s="110"/>
      <c r="E41" s="111"/>
      <c r="F41" s="112"/>
      <c r="G41" s="113"/>
      <c r="H41" s="114" t="s">
        <v>372</v>
      </c>
      <c r="I41" s="148" t="s">
        <v>348</v>
      </c>
      <c r="J41" s="149" t="s">
        <v>216</v>
      </c>
      <c r="K41" s="149"/>
      <c r="L41" s="152" t="s">
        <v>348</v>
      </c>
      <c r="M41" s="149" t="s">
        <v>232</v>
      </c>
      <c r="N41" s="149"/>
      <c r="O41" s="154"/>
      <c r="P41" s="149"/>
      <c r="Q41" s="154"/>
      <c r="R41" s="154"/>
      <c r="S41" s="154"/>
      <c r="T41" s="154"/>
      <c r="U41" s="154"/>
      <c r="V41" s="154"/>
      <c r="W41" s="154"/>
      <c r="X41" s="155"/>
      <c r="Y41" s="105"/>
      <c r="Z41" s="105"/>
      <c r="AA41" s="105"/>
      <c r="AB41" s="106"/>
      <c r="AC41" s="314"/>
      <c r="AD41" s="315"/>
      <c r="AE41" s="315"/>
      <c r="AF41" s="316"/>
      <c r="AI41" s="119" t="str">
        <f>"64:field224:" &amp; IF(I41="■",1,IF(L41="■",2,0))</f>
        <v>64:field224:0</v>
      </c>
    </row>
    <row r="42" spans="1:36" ht="18.75" customHeight="1" x14ac:dyDescent="0.15">
      <c r="A42" s="170"/>
      <c r="B42" s="171"/>
      <c r="C42" s="258"/>
      <c r="D42" s="175"/>
      <c r="E42" s="174"/>
      <c r="F42" s="175"/>
      <c r="G42" s="176"/>
      <c r="H42" s="266" t="s">
        <v>111</v>
      </c>
      <c r="I42" s="177" t="s">
        <v>348</v>
      </c>
      <c r="J42" s="96" t="s">
        <v>216</v>
      </c>
      <c r="K42" s="96"/>
      <c r="L42" s="178" t="s">
        <v>348</v>
      </c>
      <c r="M42" s="96" t="s">
        <v>233</v>
      </c>
      <c r="N42" s="96"/>
      <c r="O42" s="178" t="s">
        <v>348</v>
      </c>
      <c r="P42" s="96" t="s">
        <v>242</v>
      </c>
      <c r="Q42" s="100"/>
      <c r="R42" s="218"/>
      <c r="S42" s="100"/>
      <c r="T42" s="100"/>
      <c r="U42" s="100"/>
      <c r="V42" s="100"/>
      <c r="W42" s="100"/>
      <c r="X42" s="101"/>
      <c r="Y42" s="181"/>
      <c r="Z42" s="179"/>
      <c r="AA42" s="179"/>
      <c r="AB42" s="180"/>
      <c r="AC42" s="351"/>
      <c r="AD42" s="352"/>
      <c r="AE42" s="352"/>
      <c r="AF42" s="353"/>
      <c r="AI42" s="119" t="str">
        <f>"64:serteikyo_kyoka_code:" &amp; IF(I42="■",1,IF(L42="■",3,IF(O42="■",4,0)))</f>
        <v>64:serteikyo_kyoka_code:0</v>
      </c>
    </row>
    <row r="43" spans="1:36" ht="18.75" customHeight="1" x14ac:dyDescent="0.15">
      <c r="A43" s="130"/>
      <c r="B43" s="131"/>
      <c r="C43" s="220"/>
      <c r="D43" s="134"/>
      <c r="E43" s="126"/>
      <c r="F43" s="134"/>
      <c r="G43" s="135"/>
      <c r="H43" s="221" t="s">
        <v>127</v>
      </c>
      <c r="I43" s="140" t="s">
        <v>348</v>
      </c>
      <c r="J43" s="184" t="s">
        <v>216</v>
      </c>
      <c r="K43" s="185"/>
      <c r="L43" s="136" t="s">
        <v>348</v>
      </c>
      <c r="M43" s="184" t="s">
        <v>232</v>
      </c>
      <c r="N43" s="184"/>
      <c r="O43" s="184"/>
      <c r="P43" s="184"/>
      <c r="Q43" s="188"/>
      <c r="R43" s="188"/>
      <c r="S43" s="188"/>
      <c r="T43" s="188"/>
      <c r="U43" s="188"/>
      <c r="V43" s="188"/>
      <c r="W43" s="188"/>
      <c r="X43" s="189"/>
      <c r="Y43" s="136" t="s">
        <v>348</v>
      </c>
      <c r="Z43" s="124" t="s">
        <v>215</v>
      </c>
      <c r="AA43" s="124"/>
      <c r="AB43" s="139"/>
      <c r="AC43" s="412"/>
      <c r="AD43" s="413"/>
      <c r="AE43" s="413"/>
      <c r="AF43" s="414"/>
      <c r="AG43" s="119" t="str">
        <f>"ser_code = '" &amp; IF(A46="■",34,"") &amp; "'"</f>
        <v>ser_code = ''</v>
      </c>
      <c r="AH43" s="119"/>
      <c r="AI43" s="119" t="str">
        <f>"34:tokutiiki_code:" &amp; IF(I43="■",1,IF(L43="■",2,0))</f>
        <v>34:tokutiiki_code:0</v>
      </c>
      <c r="AJ43" s="119" t="str">
        <f>"34:field203:" &amp; IF(Y43="■",1,IF(Y44="■",2,0))</f>
        <v>34:field203:0</v>
      </c>
    </row>
    <row r="44" spans="1:36" ht="18.75" customHeight="1" x14ac:dyDescent="0.15">
      <c r="A44" s="107"/>
      <c r="B44" s="108"/>
      <c r="C44" s="109"/>
      <c r="D44" s="112"/>
      <c r="E44" s="111"/>
      <c r="F44" s="112"/>
      <c r="G44" s="113"/>
      <c r="H44" s="329" t="s">
        <v>416</v>
      </c>
      <c r="I44" s="354" t="s">
        <v>348</v>
      </c>
      <c r="J44" s="343" t="s">
        <v>222</v>
      </c>
      <c r="K44" s="343"/>
      <c r="L44" s="343"/>
      <c r="M44" s="342" t="s">
        <v>348</v>
      </c>
      <c r="N44" s="343" t="s">
        <v>223</v>
      </c>
      <c r="O44" s="343"/>
      <c r="P44" s="343"/>
      <c r="Q44" s="168"/>
      <c r="R44" s="168"/>
      <c r="S44" s="168"/>
      <c r="T44" s="168"/>
      <c r="U44" s="168"/>
      <c r="V44" s="168"/>
      <c r="W44" s="168"/>
      <c r="X44" s="169"/>
      <c r="Y44" s="123" t="s">
        <v>348</v>
      </c>
      <c r="Z44" s="104" t="s">
        <v>221</v>
      </c>
      <c r="AA44" s="104"/>
      <c r="AB44" s="106"/>
      <c r="AC44" s="415"/>
      <c r="AD44" s="416"/>
      <c r="AE44" s="416"/>
      <c r="AF44" s="417"/>
      <c r="AG44" s="119"/>
      <c r="AH44" s="119"/>
      <c r="AI44" s="119" t="str">
        <f>"34:chuusankanti_tiiki_code:" &amp; IF(I44="■",1,IF(M44="■",2,0))</f>
        <v>34:chuusankanti_tiiki_code:0</v>
      </c>
      <c r="AJ44" s="119"/>
    </row>
    <row r="45" spans="1:36" ht="18.75" customHeight="1" x14ac:dyDescent="0.15">
      <c r="A45" s="107"/>
      <c r="B45" s="108"/>
      <c r="C45" s="109"/>
      <c r="D45" s="112"/>
      <c r="E45" s="111"/>
      <c r="F45" s="112"/>
      <c r="G45" s="113"/>
      <c r="H45" s="328"/>
      <c r="I45" s="355"/>
      <c r="J45" s="333"/>
      <c r="K45" s="333"/>
      <c r="L45" s="333"/>
      <c r="M45" s="331"/>
      <c r="N45" s="333"/>
      <c r="O45" s="333"/>
      <c r="P45" s="333"/>
      <c r="Q45" s="145"/>
      <c r="R45" s="145"/>
      <c r="S45" s="145"/>
      <c r="T45" s="145"/>
      <c r="U45" s="145"/>
      <c r="V45" s="145"/>
      <c r="W45" s="145"/>
      <c r="X45" s="146"/>
      <c r="Y45" s="147"/>
      <c r="Z45" s="105"/>
      <c r="AA45" s="105"/>
      <c r="AB45" s="106"/>
      <c r="AC45" s="415"/>
      <c r="AD45" s="416"/>
      <c r="AE45" s="416"/>
      <c r="AF45" s="417"/>
      <c r="AG45" s="119"/>
      <c r="AH45" s="119"/>
      <c r="AI45" s="119"/>
      <c r="AJ45" s="119"/>
    </row>
    <row r="46" spans="1:36" ht="18.75" customHeight="1" x14ac:dyDescent="0.15">
      <c r="A46" s="128" t="s">
        <v>348</v>
      </c>
      <c r="B46" s="108">
        <v>34</v>
      </c>
      <c r="C46" s="224" t="s">
        <v>420</v>
      </c>
      <c r="D46" s="112"/>
      <c r="E46" s="111"/>
      <c r="F46" s="112"/>
      <c r="G46" s="113"/>
      <c r="H46" s="329" t="s">
        <v>419</v>
      </c>
      <c r="I46" s="354" t="s">
        <v>348</v>
      </c>
      <c r="J46" s="343" t="s">
        <v>222</v>
      </c>
      <c r="K46" s="343"/>
      <c r="L46" s="343"/>
      <c r="M46" s="342" t="s">
        <v>348</v>
      </c>
      <c r="N46" s="343" t="s">
        <v>223</v>
      </c>
      <c r="O46" s="343"/>
      <c r="P46" s="343"/>
      <c r="Q46" s="168"/>
      <c r="R46" s="168"/>
      <c r="S46" s="168"/>
      <c r="T46" s="168"/>
      <c r="U46" s="168"/>
      <c r="V46" s="168"/>
      <c r="W46" s="168"/>
      <c r="X46" s="169"/>
      <c r="Y46" s="147"/>
      <c r="Z46" s="105"/>
      <c r="AA46" s="105"/>
      <c r="AB46" s="106"/>
      <c r="AC46" s="415"/>
      <c r="AD46" s="416"/>
      <c r="AE46" s="416"/>
      <c r="AF46" s="417"/>
      <c r="AG46" s="119"/>
      <c r="AH46" s="119"/>
      <c r="AI46" s="119" t="str">
        <f>"34:chuusankanti_kibo_code:" &amp; IF(I46="■",1,IF(M46="■",2,0))</f>
        <v>34:chuusankanti_kibo_code:0</v>
      </c>
      <c r="AJ46" s="119"/>
    </row>
    <row r="47" spans="1:36" ht="18" customHeight="1" x14ac:dyDescent="0.15">
      <c r="A47" s="107"/>
      <c r="B47" s="108"/>
      <c r="C47" s="224" t="s">
        <v>421</v>
      </c>
      <c r="D47" s="112"/>
      <c r="E47" s="111"/>
      <c r="F47" s="112"/>
      <c r="G47" s="113"/>
      <c r="H47" s="328"/>
      <c r="I47" s="355"/>
      <c r="J47" s="333"/>
      <c r="K47" s="333"/>
      <c r="L47" s="333"/>
      <c r="M47" s="331"/>
      <c r="N47" s="333"/>
      <c r="O47" s="333"/>
      <c r="P47" s="333"/>
      <c r="Q47" s="145"/>
      <c r="R47" s="145"/>
      <c r="S47" s="145"/>
      <c r="T47" s="145"/>
      <c r="U47" s="145"/>
      <c r="V47" s="145"/>
      <c r="W47" s="145"/>
      <c r="X47" s="146"/>
      <c r="Y47" s="147"/>
      <c r="Z47" s="105"/>
      <c r="AA47" s="105"/>
      <c r="AB47" s="106"/>
      <c r="AC47" s="415"/>
      <c r="AD47" s="416"/>
      <c r="AE47" s="416"/>
      <c r="AF47" s="417"/>
    </row>
    <row r="48" spans="1:36" ht="18.75" customHeight="1" x14ac:dyDescent="0.15">
      <c r="A48" s="107"/>
      <c r="B48" s="108"/>
      <c r="C48" s="109"/>
      <c r="D48" s="110"/>
      <c r="E48" s="165"/>
      <c r="F48" s="110"/>
      <c r="G48" s="108"/>
      <c r="H48" s="190" t="s">
        <v>382</v>
      </c>
      <c r="I48" s="128" t="s">
        <v>348</v>
      </c>
      <c r="J48" s="332" t="s">
        <v>216</v>
      </c>
      <c r="K48" s="332"/>
      <c r="L48" s="123" t="s">
        <v>348</v>
      </c>
      <c r="M48" s="332" t="s">
        <v>232</v>
      </c>
      <c r="N48" s="332"/>
      <c r="O48" s="104"/>
      <c r="P48" s="104"/>
      <c r="Q48" s="141"/>
      <c r="R48" s="141"/>
      <c r="S48" s="141"/>
      <c r="T48" s="141"/>
      <c r="U48" s="141"/>
      <c r="V48" s="141"/>
      <c r="W48" s="141"/>
      <c r="X48" s="142"/>
      <c r="Y48" s="147"/>
      <c r="Z48" s="105"/>
      <c r="AA48" s="105"/>
      <c r="AB48" s="106"/>
      <c r="AC48" s="415"/>
      <c r="AD48" s="416"/>
      <c r="AE48" s="416"/>
      <c r="AF48" s="417"/>
      <c r="AI48" s="119" t="str">
        <f>"34:field240:" &amp; IF(I48="■",1,IF(L48="■",2,0))</f>
        <v>34:field240:0</v>
      </c>
    </row>
    <row r="49" spans="1:37" ht="18.75" customHeight="1" x14ac:dyDescent="0.15">
      <c r="A49" s="170"/>
      <c r="B49" s="171"/>
      <c r="C49" s="258"/>
      <c r="D49" s="173"/>
      <c r="E49" s="216"/>
      <c r="F49" s="173"/>
      <c r="G49" s="171"/>
      <c r="H49" s="217" t="s">
        <v>383</v>
      </c>
      <c r="I49" s="177" t="s">
        <v>348</v>
      </c>
      <c r="J49" s="96" t="s">
        <v>216</v>
      </c>
      <c r="K49" s="218"/>
      <c r="L49" s="178" t="s">
        <v>348</v>
      </c>
      <c r="M49" s="96" t="s">
        <v>232</v>
      </c>
      <c r="N49" s="96"/>
      <c r="O49" s="96"/>
      <c r="P49" s="96"/>
      <c r="Q49" s="100"/>
      <c r="R49" s="100"/>
      <c r="S49" s="100"/>
      <c r="T49" s="100"/>
      <c r="U49" s="100"/>
      <c r="V49" s="100"/>
      <c r="W49" s="100"/>
      <c r="X49" s="101"/>
      <c r="Y49" s="181"/>
      <c r="Z49" s="99"/>
      <c r="AA49" s="99"/>
      <c r="AB49" s="180"/>
      <c r="AC49" s="418"/>
      <c r="AD49" s="419"/>
      <c r="AE49" s="419"/>
      <c r="AF49" s="420"/>
      <c r="AI49" s="119" t="str">
        <f>"34:field241:" &amp; IF(I49="■",1,IF(L49="■",2,0))</f>
        <v>34:field241:0</v>
      </c>
    </row>
    <row r="50" spans="1:37" ht="18.75" customHeight="1" x14ac:dyDescent="0.15">
      <c r="A50" s="130"/>
      <c r="B50" s="131"/>
      <c r="C50" s="220"/>
      <c r="D50" s="134"/>
      <c r="E50" s="126"/>
      <c r="F50" s="134"/>
      <c r="G50" s="135"/>
      <c r="H50" s="340" t="s">
        <v>92</v>
      </c>
      <c r="I50" s="140" t="s">
        <v>348</v>
      </c>
      <c r="J50" s="124" t="s">
        <v>216</v>
      </c>
      <c r="K50" s="124"/>
      <c r="L50" s="231"/>
      <c r="M50" s="136" t="s">
        <v>348</v>
      </c>
      <c r="N50" s="124" t="s">
        <v>254</v>
      </c>
      <c r="O50" s="124"/>
      <c r="P50" s="231"/>
      <c r="Q50" s="136" t="s">
        <v>348</v>
      </c>
      <c r="R50" s="232" t="s">
        <v>255</v>
      </c>
      <c r="S50" s="232"/>
      <c r="T50" s="232"/>
      <c r="U50" s="136" t="s">
        <v>348</v>
      </c>
      <c r="V50" s="232" t="s">
        <v>256</v>
      </c>
      <c r="W50" s="232"/>
      <c r="X50" s="213"/>
      <c r="Y50" s="136" t="s">
        <v>348</v>
      </c>
      <c r="Z50" s="124" t="s">
        <v>215</v>
      </c>
      <c r="AA50" s="124"/>
      <c r="AB50" s="139"/>
      <c r="AC50" s="403"/>
      <c r="AD50" s="404"/>
      <c r="AE50" s="404"/>
      <c r="AF50" s="405"/>
      <c r="AG50" s="119" t="str">
        <f>"ser_code = '" &amp; IF(A55="■",66,"") &amp; "'"</f>
        <v>ser_code = ''</v>
      </c>
      <c r="AH50" s="119"/>
      <c r="AI50" s="119" t="str">
        <f>"66:"&amp;IF(AND(I50="□",M50="□",Q50="□",U50="□",I51="□",M51="□",Q51="□"),"ketu_doctor_code:0",IF(I50="■","ketu_doctor_code:1:ketu_kangos_code:1:ketu_kshoku_code:1:ketu_rryoho_code:1:ketu_sryoho_code:1:ketu_gengo_code:1",
IF(M50="■","ketu_doctor_code:2","ketu_doctor_code:1")
&amp;IF(Q50="■",":ketu_kangos_code:2",":ketu_kangos_code:1")
&amp;IF(U50="■",":ketu_kshoku_code:2",":ketu_kshoku_code:1")
&amp;IF(I51="■",":ketu_rryoho_code:2",":ketu_rryoho_code:1")
&amp;IF(M51="■",":ketu_sryoho_code:2",":ketu_sryoho_code:1")
&amp;IF(Q51="■",":ketu_gengo_code:2",":ketu_gengo_code:1")))</f>
        <v>66:ketu_doctor_code:0</v>
      </c>
      <c r="AJ50" s="119" t="str">
        <f>"66:field203:" &amp; IF(Y50="■",1,IF(Y51="■",2,0))</f>
        <v>66:field203:0</v>
      </c>
    </row>
    <row r="51" spans="1:37" ht="18.75" customHeight="1" x14ac:dyDescent="0.15">
      <c r="A51" s="107"/>
      <c r="B51" s="108"/>
      <c r="C51" s="224"/>
      <c r="D51" s="112"/>
      <c r="E51" s="111"/>
      <c r="F51" s="112"/>
      <c r="G51" s="113"/>
      <c r="H51" s="341"/>
      <c r="I51" s="128" t="s">
        <v>348</v>
      </c>
      <c r="J51" s="104" t="s">
        <v>257</v>
      </c>
      <c r="M51" s="123" t="s">
        <v>348</v>
      </c>
      <c r="N51" s="104" t="s">
        <v>258</v>
      </c>
      <c r="Q51" s="123" t="s">
        <v>348</v>
      </c>
      <c r="R51" s="104" t="s">
        <v>259</v>
      </c>
      <c r="X51" s="165"/>
      <c r="Y51" s="123" t="s">
        <v>348</v>
      </c>
      <c r="Z51" s="104" t="s">
        <v>221</v>
      </c>
      <c r="AA51" s="105"/>
      <c r="AB51" s="106"/>
      <c r="AC51" s="406"/>
      <c r="AD51" s="407"/>
      <c r="AE51" s="407"/>
      <c r="AF51" s="408"/>
      <c r="AG51" s="119" t="str">
        <f>"66:sisetukbn_code:" &amp; IF(D54="■",1,IF(D55="■",2,IF(D56="■",3,0)))</f>
        <v>66:sisetukbn_code:0</v>
      </c>
      <c r="AH51" s="119"/>
      <c r="AI51" s="119"/>
      <c r="AJ51" s="119"/>
    </row>
    <row r="52" spans="1:37" ht="19.5" customHeight="1" x14ac:dyDescent="0.15">
      <c r="A52" s="107"/>
      <c r="B52" s="108"/>
      <c r="C52" s="224"/>
      <c r="D52" s="112"/>
      <c r="E52" s="111"/>
      <c r="F52" s="112"/>
      <c r="G52" s="113"/>
      <c r="H52" s="114" t="s">
        <v>369</v>
      </c>
      <c r="I52" s="148" t="s">
        <v>348</v>
      </c>
      <c r="J52" s="149" t="s">
        <v>360</v>
      </c>
      <c r="K52" s="150"/>
      <c r="L52" s="151"/>
      <c r="M52" s="152" t="s">
        <v>348</v>
      </c>
      <c r="N52" s="149" t="s">
        <v>370</v>
      </c>
      <c r="O52" s="149"/>
      <c r="P52" s="149"/>
      <c r="Q52" s="154"/>
      <c r="R52" s="154"/>
      <c r="S52" s="154"/>
      <c r="T52" s="154"/>
      <c r="U52" s="154"/>
      <c r="V52" s="154"/>
      <c r="W52" s="154"/>
      <c r="X52" s="155"/>
      <c r="Y52" s="147"/>
      <c r="Z52" s="105"/>
      <c r="AA52" s="105"/>
      <c r="AB52" s="106"/>
      <c r="AC52" s="406"/>
      <c r="AD52" s="407"/>
      <c r="AE52" s="407"/>
      <c r="AF52" s="408"/>
      <c r="AG52" s="280"/>
      <c r="AI52" s="119" t="str">
        <f>"66:field223:" &amp; IF(I52="■",1,IF(M52="■",2,0))</f>
        <v>66:field223:0</v>
      </c>
    </row>
    <row r="53" spans="1:37" ht="19.5" customHeight="1" x14ac:dyDescent="0.15">
      <c r="A53" s="107"/>
      <c r="B53" s="108"/>
      <c r="C53" s="109"/>
      <c r="D53" s="110"/>
      <c r="E53" s="111"/>
      <c r="F53" s="112"/>
      <c r="G53" s="113"/>
      <c r="H53" s="252" t="s">
        <v>390</v>
      </c>
      <c r="I53" s="143" t="s">
        <v>348</v>
      </c>
      <c r="J53" s="115" t="s">
        <v>360</v>
      </c>
      <c r="K53" s="166"/>
      <c r="L53" s="116"/>
      <c r="M53" s="191" t="s">
        <v>348</v>
      </c>
      <c r="N53" s="115" t="s">
        <v>370</v>
      </c>
      <c r="O53" s="115"/>
      <c r="P53" s="115"/>
      <c r="Q53" s="145"/>
      <c r="R53" s="145"/>
      <c r="S53" s="145"/>
      <c r="T53" s="145"/>
      <c r="U53" s="145"/>
      <c r="V53" s="145"/>
      <c r="W53" s="145"/>
      <c r="X53" s="146"/>
      <c r="Y53" s="147"/>
      <c r="Z53" s="105"/>
      <c r="AA53" s="105"/>
      <c r="AB53" s="106"/>
      <c r="AC53" s="406"/>
      <c r="AD53" s="407"/>
      <c r="AE53" s="407"/>
      <c r="AF53" s="408"/>
      <c r="AI53" s="119" t="str">
        <f>"66:field232:" &amp; IF(I53="■",1,IF(M53="■",2,0))</f>
        <v>66:field232:0</v>
      </c>
    </row>
    <row r="54" spans="1:37" ht="18.75" customHeight="1" x14ac:dyDescent="0.15">
      <c r="A54" s="107"/>
      <c r="B54" s="108"/>
      <c r="C54" s="109"/>
      <c r="D54" s="123" t="s">
        <v>348</v>
      </c>
      <c r="E54" s="111" t="s">
        <v>366</v>
      </c>
      <c r="F54" s="112"/>
      <c r="G54" s="113"/>
      <c r="H54" s="227" t="s">
        <v>422</v>
      </c>
      <c r="I54" s="148" t="s">
        <v>348</v>
      </c>
      <c r="J54" s="149" t="s">
        <v>216</v>
      </c>
      <c r="K54" s="150"/>
      <c r="L54" s="152" t="s">
        <v>348</v>
      </c>
      <c r="M54" s="149" t="s">
        <v>232</v>
      </c>
      <c r="N54" s="149"/>
      <c r="O54" s="196"/>
      <c r="P54" s="196"/>
      <c r="Q54" s="196"/>
      <c r="R54" s="196"/>
      <c r="S54" s="196"/>
      <c r="T54" s="196"/>
      <c r="U54" s="196"/>
      <c r="V54" s="196"/>
      <c r="W54" s="196"/>
      <c r="X54" s="197"/>
      <c r="Y54" s="147"/>
      <c r="Z54" s="105"/>
      <c r="AA54" s="105"/>
      <c r="AB54" s="106"/>
      <c r="AC54" s="406"/>
      <c r="AD54" s="407"/>
      <c r="AE54" s="407"/>
      <c r="AF54" s="408"/>
      <c r="AI54" s="119" t="str">
        <f>"66:field157:" &amp; IF(I54="■",1,IF(L54="■",2,0))</f>
        <v>66:field157:0</v>
      </c>
    </row>
    <row r="55" spans="1:37" ht="18.75" customHeight="1" x14ac:dyDescent="0.15">
      <c r="A55" s="128" t="s">
        <v>348</v>
      </c>
      <c r="B55" s="108">
        <v>66</v>
      </c>
      <c r="C55" s="224" t="s">
        <v>423</v>
      </c>
      <c r="D55" s="123" t="s">
        <v>348</v>
      </c>
      <c r="E55" s="111" t="s">
        <v>244</v>
      </c>
      <c r="F55" s="112"/>
      <c r="G55" s="113"/>
      <c r="H55" s="230" t="s">
        <v>424</v>
      </c>
      <c r="I55" s="152" t="s">
        <v>348</v>
      </c>
      <c r="J55" s="149" t="s">
        <v>216</v>
      </c>
      <c r="K55" s="150"/>
      <c r="L55" s="152" t="s">
        <v>348</v>
      </c>
      <c r="M55" s="149" t="s">
        <v>232</v>
      </c>
      <c r="N55" s="149"/>
      <c r="O55" s="196"/>
      <c r="P55" s="196"/>
      <c r="Q55" s="196"/>
      <c r="R55" s="196"/>
      <c r="S55" s="196"/>
      <c r="T55" s="196"/>
      <c r="U55" s="196"/>
      <c r="V55" s="196"/>
      <c r="W55" s="196"/>
      <c r="X55" s="197"/>
      <c r="Y55" s="147"/>
      <c r="Z55" s="105"/>
      <c r="AA55" s="105"/>
      <c r="AB55" s="106"/>
      <c r="AC55" s="406"/>
      <c r="AD55" s="407"/>
      <c r="AE55" s="407"/>
      <c r="AF55" s="408"/>
      <c r="AI55" s="119" t="str">
        <f>"66:jyakuninti_uke_code:" &amp; IF(I55="■",1,IF(L55="■",2,0))</f>
        <v>66:jyakuninti_uke_code:0</v>
      </c>
    </row>
    <row r="56" spans="1:37" ht="18.75" customHeight="1" x14ac:dyDescent="0.15">
      <c r="A56" s="107"/>
      <c r="B56" s="108"/>
      <c r="C56" s="224" t="s">
        <v>418</v>
      </c>
      <c r="D56" s="123" t="s">
        <v>348</v>
      </c>
      <c r="E56" s="111" t="s">
        <v>245</v>
      </c>
      <c r="F56" s="112"/>
      <c r="G56" s="113"/>
      <c r="H56" s="230" t="s">
        <v>203</v>
      </c>
      <c r="I56" s="152" t="s">
        <v>348</v>
      </c>
      <c r="J56" s="149" t="s">
        <v>216</v>
      </c>
      <c r="K56" s="150"/>
      <c r="L56" s="152" t="s">
        <v>348</v>
      </c>
      <c r="M56" s="149" t="s">
        <v>232</v>
      </c>
      <c r="N56" s="149"/>
      <c r="O56" s="196"/>
      <c r="P56" s="196"/>
      <c r="Q56" s="196"/>
      <c r="R56" s="196"/>
      <c r="S56" s="196"/>
      <c r="T56" s="196"/>
      <c r="U56" s="196"/>
      <c r="V56" s="196"/>
      <c r="W56" s="196"/>
      <c r="X56" s="197"/>
      <c r="Y56" s="147"/>
      <c r="Z56" s="105"/>
      <c r="AA56" s="105"/>
      <c r="AB56" s="106"/>
      <c r="AC56" s="406"/>
      <c r="AD56" s="407"/>
      <c r="AE56" s="407"/>
      <c r="AF56" s="408"/>
      <c r="AI56" s="119" t="str">
        <f>"66:eiyomana_code:" &amp; IF(I56="■",1,IF(L56="■",2,0))</f>
        <v>66:eiyomana_code:0</v>
      </c>
    </row>
    <row r="57" spans="1:37" ht="18.75" customHeight="1" x14ac:dyDescent="0.15">
      <c r="A57" s="107"/>
      <c r="B57" s="108"/>
      <c r="C57" s="224"/>
      <c r="D57" s="112"/>
      <c r="E57" s="111"/>
      <c r="F57" s="112"/>
      <c r="G57" s="113"/>
      <c r="H57" s="157" t="s">
        <v>177</v>
      </c>
      <c r="I57" s="152" t="s">
        <v>348</v>
      </c>
      <c r="J57" s="149" t="s">
        <v>216</v>
      </c>
      <c r="K57" s="150"/>
      <c r="L57" s="152" t="s">
        <v>348</v>
      </c>
      <c r="M57" s="149" t="s">
        <v>232</v>
      </c>
      <c r="N57" s="149"/>
      <c r="O57" s="196"/>
      <c r="P57" s="196"/>
      <c r="Q57" s="196"/>
      <c r="R57" s="196"/>
      <c r="S57" s="196"/>
      <c r="T57" s="196"/>
      <c r="U57" s="196"/>
      <c r="V57" s="196"/>
      <c r="W57" s="196"/>
      <c r="X57" s="197"/>
      <c r="Y57" s="147"/>
      <c r="Z57" s="105"/>
      <c r="AA57" s="105"/>
      <c r="AB57" s="106"/>
      <c r="AC57" s="406"/>
      <c r="AD57" s="407"/>
      <c r="AE57" s="407"/>
      <c r="AF57" s="408"/>
      <c r="AI57" s="119" t="str">
        <f>"66:koukoukino_code:" &amp; IF(I57="■",1,IF(L57="■",2,0))</f>
        <v>66:koukoukino_code:0</v>
      </c>
    </row>
    <row r="58" spans="1:37" ht="18.75" customHeight="1" x14ac:dyDescent="0.15">
      <c r="A58" s="107"/>
      <c r="B58" s="108"/>
      <c r="C58" s="224"/>
      <c r="D58" s="112"/>
      <c r="E58" s="111"/>
      <c r="F58" s="112"/>
      <c r="G58" s="113"/>
      <c r="H58" s="204" t="s">
        <v>425</v>
      </c>
      <c r="I58" s="194" t="s">
        <v>348</v>
      </c>
      <c r="J58" s="343" t="s">
        <v>216</v>
      </c>
      <c r="K58" s="343"/>
      <c r="L58" s="195" t="s">
        <v>348</v>
      </c>
      <c r="M58" s="343" t="s">
        <v>232</v>
      </c>
      <c r="N58" s="343"/>
      <c r="O58" s="283"/>
      <c r="P58" s="283"/>
      <c r="Q58" s="283"/>
      <c r="R58" s="283"/>
      <c r="S58" s="283"/>
      <c r="T58" s="283"/>
      <c r="U58" s="283"/>
      <c r="V58" s="283"/>
      <c r="W58" s="283"/>
      <c r="X58" s="284"/>
      <c r="Y58" s="147"/>
      <c r="Z58" s="105"/>
      <c r="AA58" s="105"/>
      <c r="AB58" s="106"/>
      <c r="AC58" s="406"/>
      <c r="AD58" s="407"/>
      <c r="AE58" s="407"/>
      <c r="AF58" s="408"/>
      <c r="AI58" s="119" t="str">
        <f>"66:field174:" &amp; IF(I58="■",1,IF(L58="■",2,0))</f>
        <v>66:field174:0</v>
      </c>
    </row>
    <row r="59" spans="1:37" ht="18.75" customHeight="1" x14ac:dyDescent="0.15">
      <c r="A59" s="107"/>
      <c r="B59" s="108"/>
      <c r="C59" s="224"/>
      <c r="D59" s="112"/>
      <c r="E59" s="111"/>
      <c r="F59" s="112"/>
      <c r="G59" s="113"/>
      <c r="H59" s="157" t="s">
        <v>175</v>
      </c>
      <c r="I59" s="194" t="s">
        <v>348</v>
      </c>
      <c r="J59" s="149" t="s">
        <v>216</v>
      </c>
      <c r="K59" s="150"/>
      <c r="L59" s="152" t="s">
        <v>348</v>
      </c>
      <c r="M59" s="149" t="s">
        <v>232</v>
      </c>
      <c r="N59" s="149"/>
      <c r="O59" s="196"/>
      <c r="P59" s="196"/>
      <c r="Q59" s="196"/>
      <c r="R59" s="196"/>
      <c r="S59" s="196"/>
      <c r="T59" s="196"/>
      <c r="U59" s="196"/>
      <c r="V59" s="196"/>
      <c r="W59" s="196"/>
      <c r="X59" s="197"/>
      <c r="Y59" s="147"/>
      <c r="Z59" s="105"/>
      <c r="AA59" s="105"/>
      <c r="AB59" s="106"/>
      <c r="AC59" s="406"/>
      <c r="AD59" s="407"/>
      <c r="AE59" s="407"/>
      <c r="AF59" s="408"/>
      <c r="AI59" s="119" t="str">
        <f>"66:field212:" &amp; IF(I59="■",1,IF(L59="■",2,0))</f>
        <v>66:field212:0</v>
      </c>
    </row>
    <row r="60" spans="1:37" ht="18.75" customHeight="1" x14ac:dyDescent="0.15">
      <c r="A60" s="107"/>
      <c r="B60" s="108"/>
      <c r="C60" s="224"/>
      <c r="D60" s="112"/>
      <c r="E60" s="111"/>
      <c r="F60" s="112"/>
      <c r="G60" s="113"/>
      <c r="H60" s="230" t="s">
        <v>111</v>
      </c>
      <c r="I60" s="194" t="s">
        <v>348</v>
      </c>
      <c r="J60" s="149" t="s">
        <v>216</v>
      </c>
      <c r="K60" s="149"/>
      <c r="L60" s="152" t="s">
        <v>348</v>
      </c>
      <c r="M60" s="149" t="s">
        <v>260</v>
      </c>
      <c r="N60" s="149"/>
      <c r="O60" s="152" t="s">
        <v>348</v>
      </c>
      <c r="P60" s="149" t="s">
        <v>242</v>
      </c>
      <c r="Q60" s="149"/>
      <c r="R60" s="152" t="s">
        <v>348</v>
      </c>
      <c r="S60" s="149" t="s">
        <v>261</v>
      </c>
      <c r="T60" s="196"/>
      <c r="U60" s="196"/>
      <c r="V60" s="196"/>
      <c r="W60" s="196"/>
      <c r="X60" s="197"/>
      <c r="Y60" s="147"/>
      <c r="Z60" s="105"/>
      <c r="AA60" s="105"/>
      <c r="AB60" s="106"/>
      <c r="AC60" s="406"/>
      <c r="AD60" s="407"/>
      <c r="AE60" s="407"/>
      <c r="AF60" s="408"/>
      <c r="AI60" s="119" t="str">
        <f>"66:serteikyo_kyoka_code:" &amp; IF(I60="■",1,IF(L60="■",5,IF(O60="■",4,IF(R60="■",6,0))))</f>
        <v>66:serteikyo_kyoka_code:0</v>
      </c>
    </row>
    <row r="61" spans="1:37" ht="18.75" customHeight="1" x14ac:dyDescent="0.15">
      <c r="A61" s="170"/>
      <c r="B61" s="108"/>
      <c r="C61" s="172"/>
      <c r="D61" s="173"/>
      <c r="E61" s="174"/>
      <c r="F61" s="175"/>
      <c r="G61" s="176"/>
      <c r="H61" s="95" t="s">
        <v>405</v>
      </c>
      <c r="I61" s="177" t="s">
        <v>348</v>
      </c>
      <c r="J61" s="96" t="s">
        <v>216</v>
      </c>
      <c r="K61" s="96"/>
      <c r="L61" s="178" t="s">
        <v>348</v>
      </c>
      <c r="M61" s="96" t="s">
        <v>373</v>
      </c>
      <c r="N61" s="97"/>
      <c r="O61" s="178" t="s">
        <v>348</v>
      </c>
      <c r="P61" s="99" t="s">
        <v>374</v>
      </c>
      <c r="Q61" s="98"/>
      <c r="R61" s="178" t="s">
        <v>348</v>
      </c>
      <c r="S61" s="96" t="s">
        <v>375</v>
      </c>
      <c r="T61" s="98"/>
      <c r="U61" s="178" t="s">
        <v>348</v>
      </c>
      <c r="V61" s="96" t="s">
        <v>376</v>
      </c>
      <c r="W61" s="100"/>
      <c r="X61" s="101"/>
      <c r="Y61" s="179"/>
      <c r="Z61" s="179"/>
      <c r="AA61" s="179"/>
      <c r="AB61" s="180"/>
      <c r="AC61" s="409"/>
      <c r="AD61" s="410"/>
      <c r="AE61" s="410"/>
      <c r="AF61" s="411"/>
      <c r="AG61" s="119"/>
      <c r="AH61" s="119"/>
      <c r="AI61" s="119" t="str">
        <f>"66:shoguukaizen_code:"&amp;IF(I61="■",1,IF(L61="■",7,IF(O61="■",8,IF(R61="■",9,IF(U61="■","A",0)))))</f>
        <v>66:shoguukaizen_code:0</v>
      </c>
    </row>
    <row r="62" spans="1:37" ht="18.75" customHeight="1" x14ac:dyDescent="0.15">
      <c r="A62" s="130"/>
      <c r="B62" s="131"/>
      <c r="C62" s="132"/>
      <c r="D62" s="133"/>
      <c r="E62" s="126"/>
      <c r="F62" s="134"/>
      <c r="G62" s="135"/>
      <c r="H62" s="214" t="s">
        <v>96</v>
      </c>
      <c r="I62" s="194" t="s">
        <v>348</v>
      </c>
      <c r="J62" s="184" t="s">
        <v>265</v>
      </c>
      <c r="K62" s="185"/>
      <c r="L62" s="186"/>
      <c r="M62" s="187" t="s">
        <v>348</v>
      </c>
      <c r="N62" s="184" t="s">
        <v>266</v>
      </c>
      <c r="O62" s="222"/>
      <c r="P62" s="222"/>
      <c r="Q62" s="222"/>
      <c r="R62" s="222"/>
      <c r="S62" s="222"/>
      <c r="T62" s="185"/>
      <c r="U62" s="185"/>
      <c r="V62" s="185"/>
      <c r="W62" s="185"/>
      <c r="X62" s="250"/>
      <c r="Y62" s="136" t="s">
        <v>348</v>
      </c>
      <c r="Z62" s="124" t="s">
        <v>215</v>
      </c>
      <c r="AA62" s="124"/>
      <c r="AB62" s="139"/>
      <c r="AC62" s="136" t="s">
        <v>348</v>
      </c>
      <c r="AD62" s="124" t="s">
        <v>215</v>
      </c>
      <c r="AE62" s="124"/>
      <c r="AF62" s="139"/>
      <c r="AG62" s="119" t="str">
        <f>"ser_code = '" &amp; IF(A74="■",24,"") &amp; "'"</f>
        <v>ser_code = ''</v>
      </c>
      <c r="AH62" s="119"/>
      <c r="AI62" s="119" t="str">
        <f>"24:yakan_kinmu_code:" &amp; IF(I62="■",1,IF(M62="■",6,0))</f>
        <v>24:yakan_kinmu_code:0</v>
      </c>
      <c r="AJ62" s="119" t="str">
        <f>"24:field203:" &amp; IF(Y62="■",1,IF(Y63="■",2,0))</f>
        <v>24:field203:0</v>
      </c>
      <c r="AK62" s="119" t="str">
        <f>"21:waribiki_code:" &amp; IF(AC62="■",1,IF(AC63="■",2,0))</f>
        <v>21:waribiki_code:0</v>
      </c>
    </row>
    <row r="63" spans="1:37" ht="18.75" customHeight="1" x14ac:dyDescent="0.15">
      <c r="A63" s="107"/>
      <c r="B63" s="108"/>
      <c r="C63" s="109"/>
      <c r="D63" s="110"/>
      <c r="E63" s="111"/>
      <c r="F63" s="112"/>
      <c r="G63" s="113"/>
      <c r="H63" s="230" t="s">
        <v>92</v>
      </c>
      <c r="I63" s="194" t="s">
        <v>348</v>
      </c>
      <c r="J63" s="149" t="s">
        <v>216</v>
      </c>
      <c r="K63" s="149"/>
      <c r="L63" s="151"/>
      <c r="M63" s="152" t="s">
        <v>348</v>
      </c>
      <c r="N63" s="149" t="s">
        <v>246</v>
      </c>
      <c r="O63" s="149"/>
      <c r="P63" s="151"/>
      <c r="Q63" s="152" t="s">
        <v>348</v>
      </c>
      <c r="R63" s="196" t="s">
        <v>247</v>
      </c>
      <c r="S63" s="196"/>
      <c r="T63" s="150"/>
      <c r="U63" s="150"/>
      <c r="V63" s="150"/>
      <c r="W63" s="150"/>
      <c r="X63" s="159"/>
      <c r="Y63" s="123" t="s">
        <v>348</v>
      </c>
      <c r="Z63" s="104" t="s">
        <v>221</v>
      </c>
      <c r="AA63" s="105"/>
      <c r="AB63" s="106"/>
      <c r="AC63" s="123" t="s">
        <v>348</v>
      </c>
      <c r="AD63" s="104" t="s">
        <v>221</v>
      </c>
      <c r="AE63" s="105"/>
      <c r="AF63" s="106"/>
      <c r="AG63" s="119" t="str">
        <f>"24:sisetukbn_code:" &amp; IF(D73="■",1,IF(D74="■",2,IF(D75="■",3,IF(D76="■",4,0))))</f>
        <v>24:sisetukbn_code:0</v>
      </c>
      <c r="AI63" s="119" t="str">
        <f>"24:"&amp;IF(AND(I63="□",M63="□",Q63="□"),"ketu_kangos_code:0",IF(I63="■","ketu_kangos_code:1:ketu_kshoku_code:1",IF(M63="■","ketu_kangos_code:2","ketu_kangos_code:1")&amp;IF(Q63="■",":ketu_kshoku_code:2",":ketu_kshoku_code:1")))</f>
        <v>24:ketu_kangos_code:0</v>
      </c>
    </row>
    <row r="64" spans="1:37" ht="18.75" customHeight="1" x14ac:dyDescent="0.15">
      <c r="A64" s="107"/>
      <c r="B64" s="108"/>
      <c r="C64" s="109"/>
      <c r="D64" s="110"/>
      <c r="E64" s="111"/>
      <c r="F64" s="112"/>
      <c r="G64" s="113"/>
      <c r="H64" s="230" t="s">
        <v>97</v>
      </c>
      <c r="I64" s="194" t="s">
        <v>348</v>
      </c>
      <c r="J64" s="149" t="s">
        <v>230</v>
      </c>
      <c r="K64" s="150"/>
      <c r="L64" s="151"/>
      <c r="M64" s="152" t="s">
        <v>348</v>
      </c>
      <c r="N64" s="149" t="s">
        <v>231</v>
      </c>
      <c r="O64" s="154"/>
      <c r="P64" s="196"/>
      <c r="Q64" s="196"/>
      <c r="R64" s="196"/>
      <c r="S64" s="196"/>
      <c r="T64" s="150"/>
      <c r="U64" s="150"/>
      <c r="V64" s="150"/>
      <c r="W64" s="150"/>
      <c r="X64" s="159"/>
      <c r="Y64" s="147"/>
      <c r="Z64" s="105"/>
      <c r="AA64" s="105"/>
      <c r="AB64" s="106"/>
      <c r="AC64" s="147"/>
      <c r="AD64" s="105"/>
      <c r="AE64" s="105"/>
      <c r="AF64" s="106"/>
      <c r="AI64" s="119" t="str">
        <f>"24:unitcare_code:" &amp; IF(I64="■",1,IF(M64="■",2,0))</f>
        <v>24:unitcare_code:0</v>
      </c>
    </row>
    <row r="65" spans="1:35" s="119" customFormat="1" ht="18.75" customHeight="1" x14ac:dyDescent="0.15">
      <c r="A65" s="107"/>
      <c r="B65" s="108"/>
      <c r="C65" s="238"/>
      <c r="D65" s="239"/>
      <c r="E65" s="111"/>
      <c r="F65" s="112"/>
      <c r="G65" s="113"/>
      <c r="H65" s="230" t="s">
        <v>103</v>
      </c>
      <c r="I65" s="194" t="s">
        <v>348</v>
      </c>
      <c r="J65" s="149" t="s">
        <v>360</v>
      </c>
      <c r="K65" s="150"/>
      <c r="L65" s="151"/>
      <c r="M65" s="152" t="s">
        <v>348</v>
      </c>
      <c r="N65" s="149" t="s">
        <v>361</v>
      </c>
      <c r="O65" s="150"/>
      <c r="P65" s="150"/>
      <c r="Q65" s="150"/>
      <c r="R65" s="150"/>
      <c r="S65" s="150"/>
      <c r="T65" s="150"/>
      <c r="U65" s="150"/>
      <c r="V65" s="150"/>
      <c r="W65" s="150"/>
      <c r="X65" s="159"/>
      <c r="Y65" s="147"/>
      <c r="Z65" s="105"/>
      <c r="AA65" s="105"/>
      <c r="AB65" s="106"/>
      <c r="AC65" s="147"/>
      <c r="AD65" s="105"/>
      <c r="AE65" s="105"/>
      <c r="AF65" s="106"/>
      <c r="AI65" s="119" t="str">
        <f>"24:sintaikousoku_code:" &amp; IF(I65="■",1,IF(M65="■",2,0))</f>
        <v>24:sintaikousoku_code:0</v>
      </c>
    </row>
    <row r="66" spans="1:35" ht="19.5" customHeight="1" x14ac:dyDescent="0.15">
      <c r="A66" s="107"/>
      <c r="B66" s="108"/>
      <c r="C66" s="109"/>
      <c r="D66" s="110"/>
      <c r="E66" s="111"/>
      <c r="F66" s="112"/>
      <c r="G66" s="113"/>
      <c r="H66" s="114" t="s">
        <v>369</v>
      </c>
      <c r="I66" s="194" t="s">
        <v>348</v>
      </c>
      <c r="J66" s="149" t="s">
        <v>360</v>
      </c>
      <c r="K66" s="150"/>
      <c r="L66" s="151"/>
      <c r="M66" s="152" t="s">
        <v>348</v>
      </c>
      <c r="N66" s="149" t="s">
        <v>370</v>
      </c>
      <c r="O66" s="149"/>
      <c r="P66" s="149"/>
      <c r="Q66" s="154"/>
      <c r="R66" s="154"/>
      <c r="S66" s="154"/>
      <c r="T66" s="154"/>
      <c r="U66" s="154"/>
      <c r="V66" s="154"/>
      <c r="W66" s="154"/>
      <c r="X66" s="155"/>
      <c r="Y66" s="105"/>
      <c r="Z66" s="105"/>
      <c r="AA66" s="105"/>
      <c r="AB66" s="106"/>
      <c r="AC66" s="147"/>
      <c r="AD66" s="105"/>
      <c r="AE66" s="105"/>
      <c r="AF66" s="106"/>
      <c r="AI66" s="119" t="str">
        <f>"24:field223:" &amp; IF(I66="■",1,IF(M66="■",2,0))</f>
        <v>24:field223:0</v>
      </c>
    </row>
    <row r="67" spans="1:35" ht="19.5" customHeight="1" x14ac:dyDescent="0.15">
      <c r="A67" s="107"/>
      <c r="B67" s="108"/>
      <c r="C67" s="109"/>
      <c r="D67" s="110"/>
      <c r="E67" s="111"/>
      <c r="F67" s="112"/>
      <c r="G67" s="113"/>
      <c r="H67" s="114" t="s">
        <v>390</v>
      </c>
      <c r="I67" s="194" t="s">
        <v>348</v>
      </c>
      <c r="J67" s="115" t="s">
        <v>360</v>
      </c>
      <c r="K67" s="166"/>
      <c r="L67" s="116"/>
      <c r="M67" s="191" t="s">
        <v>348</v>
      </c>
      <c r="N67" s="115" t="s">
        <v>370</v>
      </c>
      <c r="O67" s="115"/>
      <c r="P67" s="115"/>
      <c r="Q67" s="145"/>
      <c r="R67" s="145"/>
      <c r="S67" s="145"/>
      <c r="T67" s="145"/>
      <c r="U67" s="145"/>
      <c r="V67" s="145"/>
      <c r="W67" s="145"/>
      <c r="X67" s="146"/>
      <c r="Y67" s="105"/>
      <c r="Z67" s="104"/>
      <c r="AA67" s="105"/>
      <c r="AB67" s="106"/>
      <c r="AC67" s="147"/>
      <c r="AD67" s="105"/>
      <c r="AE67" s="105"/>
      <c r="AF67" s="106"/>
      <c r="AI67" s="119" t="str">
        <f>"24:field232:" &amp; IF(I67="■",1,IF(M67="■",2,0))</f>
        <v>24:field232:0</v>
      </c>
    </row>
    <row r="68" spans="1:35" ht="18.75" customHeight="1" x14ac:dyDescent="0.15">
      <c r="A68" s="107"/>
      <c r="B68" s="108"/>
      <c r="C68" s="109"/>
      <c r="D68" s="110"/>
      <c r="E68" s="111"/>
      <c r="F68" s="112"/>
      <c r="G68" s="113"/>
      <c r="H68" s="329" t="s">
        <v>148</v>
      </c>
      <c r="I68" s="194" t="s">
        <v>348</v>
      </c>
      <c r="J68" s="359" t="s">
        <v>216</v>
      </c>
      <c r="K68" s="359"/>
      <c r="L68" s="360" t="s">
        <v>348</v>
      </c>
      <c r="M68" s="359" t="s">
        <v>232</v>
      </c>
      <c r="N68" s="359"/>
      <c r="O68" s="160"/>
      <c r="P68" s="160"/>
      <c r="Q68" s="160"/>
      <c r="R68" s="160"/>
      <c r="S68" s="160"/>
      <c r="T68" s="160"/>
      <c r="U68" s="160"/>
      <c r="V68" s="160"/>
      <c r="W68" s="160"/>
      <c r="X68" s="163"/>
      <c r="Y68" s="147"/>
      <c r="Z68" s="105"/>
      <c r="AA68" s="105"/>
      <c r="AB68" s="106"/>
      <c r="AC68" s="147"/>
      <c r="AD68" s="105"/>
      <c r="AE68" s="105"/>
      <c r="AF68" s="106"/>
      <c r="AI68" s="119" t="str">
        <f>"24:field189:" &amp; IF(I68="■",1,IF(L68="■",2,0))</f>
        <v>24:field189:0</v>
      </c>
    </row>
    <row r="69" spans="1:35" ht="18.75" customHeight="1" x14ac:dyDescent="0.15">
      <c r="A69" s="107"/>
      <c r="B69" s="108"/>
      <c r="C69" s="109"/>
      <c r="D69" s="110"/>
      <c r="E69" s="111"/>
      <c r="F69" s="112"/>
      <c r="G69" s="113"/>
      <c r="H69" s="328"/>
      <c r="I69" s="128" t="s">
        <v>348</v>
      </c>
      <c r="J69" s="359"/>
      <c r="K69" s="359"/>
      <c r="L69" s="360"/>
      <c r="M69" s="359"/>
      <c r="N69" s="359"/>
      <c r="O69" s="115"/>
      <c r="P69" s="115"/>
      <c r="Q69" s="115"/>
      <c r="R69" s="115"/>
      <c r="S69" s="115"/>
      <c r="T69" s="115"/>
      <c r="U69" s="115"/>
      <c r="V69" s="115"/>
      <c r="W69" s="115"/>
      <c r="X69" s="161"/>
      <c r="Y69" s="147"/>
      <c r="Z69" s="105"/>
      <c r="AA69" s="105"/>
      <c r="AB69" s="106"/>
      <c r="AC69" s="147"/>
      <c r="AD69" s="105"/>
      <c r="AE69" s="105"/>
      <c r="AF69" s="106"/>
      <c r="AI69" s="119"/>
    </row>
    <row r="70" spans="1:35" ht="18.75" customHeight="1" x14ac:dyDescent="0.15">
      <c r="A70" s="107"/>
      <c r="B70" s="108"/>
      <c r="C70" s="109"/>
      <c r="D70" s="110"/>
      <c r="E70" s="111"/>
      <c r="F70" s="112"/>
      <c r="G70" s="113"/>
      <c r="H70" s="230" t="s">
        <v>134</v>
      </c>
      <c r="I70" s="194" t="s">
        <v>348</v>
      </c>
      <c r="J70" s="149" t="s">
        <v>216</v>
      </c>
      <c r="K70" s="150"/>
      <c r="L70" s="152" t="s">
        <v>348</v>
      </c>
      <c r="M70" s="149" t="s">
        <v>232</v>
      </c>
      <c r="N70" s="196"/>
      <c r="O70" s="154"/>
      <c r="P70" s="154"/>
      <c r="Q70" s="154"/>
      <c r="R70" s="154"/>
      <c r="S70" s="154"/>
      <c r="T70" s="154"/>
      <c r="U70" s="154"/>
      <c r="V70" s="154"/>
      <c r="W70" s="154"/>
      <c r="X70" s="155"/>
      <c r="Y70" s="147"/>
      <c r="Z70" s="105"/>
      <c r="AA70" s="105"/>
      <c r="AB70" s="106"/>
      <c r="AC70" s="147"/>
      <c r="AD70" s="105"/>
      <c r="AE70" s="105"/>
      <c r="AF70" s="106"/>
      <c r="AI70" s="119" t="str">
        <f>"24:field151:" &amp; IF(I70="■",1,IF(L70="■",2,0))</f>
        <v>24:field151:0</v>
      </c>
    </row>
    <row r="71" spans="1:35" ht="18.75" customHeight="1" x14ac:dyDescent="0.15">
      <c r="A71" s="107"/>
      <c r="B71" s="108"/>
      <c r="C71" s="109"/>
      <c r="D71" s="110"/>
      <c r="E71" s="111"/>
      <c r="F71" s="112"/>
      <c r="G71" s="113"/>
      <c r="H71" s="230" t="s">
        <v>132</v>
      </c>
      <c r="I71" s="194" t="s">
        <v>348</v>
      </c>
      <c r="J71" s="149" t="s">
        <v>216</v>
      </c>
      <c r="K71" s="149"/>
      <c r="L71" s="152" t="s">
        <v>348</v>
      </c>
      <c r="M71" s="149" t="s">
        <v>233</v>
      </c>
      <c r="N71" s="149"/>
      <c r="O71" s="152" t="s">
        <v>348</v>
      </c>
      <c r="P71" s="149" t="s">
        <v>234</v>
      </c>
      <c r="Q71" s="196"/>
      <c r="R71" s="196"/>
      <c r="S71" s="196"/>
      <c r="T71" s="196"/>
      <c r="U71" s="196"/>
      <c r="V71" s="196"/>
      <c r="W71" s="196"/>
      <c r="X71" s="197"/>
      <c r="Y71" s="147"/>
      <c r="Z71" s="105"/>
      <c r="AA71" s="105"/>
      <c r="AB71" s="106"/>
      <c r="AC71" s="147"/>
      <c r="AD71" s="105"/>
      <c r="AE71" s="105"/>
      <c r="AF71" s="106"/>
      <c r="AI71" s="119" t="str">
        <f>"24:field185:" &amp; IF(I71="■",1,IF(L71="■",3,IF(O71="■",2,0)))</f>
        <v>24:field185:0</v>
      </c>
    </row>
    <row r="72" spans="1:35" ht="18.75" customHeight="1" x14ac:dyDescent="0.15">
      <c r="A72" s="107"/>
      <c r="B72" s="108"/>
      <c r="C72" s="109"/>
      <c r="D72" s="110"/>
      <c r="E72" s="111"/>
      <c r="F72" s="112"/>
      <c r="G72" s="113"/>
      <c r="H72" s="230" t="s">
        <v>98</v>
      </c>
      <c r="I72" s="194" t="s">
        <v>348</v>
      </c>
      <c r="J72" s="149" t="s">
        <v>216</v>
      </c>
      <c r="K72" s="150"/>
      <c r="L72" s="152" t="s">
        <v>348</v>
      </c>
      <c r="M72" s="149" t="s">
        <v>232</v>
      </c>
      <c r="N72" s="196"/>
      <c r="O72" s="154"/>
      <c r="P72" s="154"/>
      <c r="Q72" s="154"/>
      <c r="R72" s="154"/>
      <c r="S72" s="154"/>
      <c r="T72" s="154"/>
      <c r="U72" s="154"/>
      <c r="V72" s="154"/>
      <c r="W72" s="154"/>
      <c r="X72" s="155"/>
      <c r="Y72" s="147"/>
      <c r="Z72" s="105"/>
      <c r="AA72" s="105"/>
      <c r="AB72" s="106"/>
      <c r="AC72" s="147"/>
      <c r="AD72" s="105"/>
      <c r="AE72" s="105"/>
      <c r="AF72" s="106"/>
      <c r="AI72" s="119" t="str">
        <f>"24:kunren_code:" &amp; IF(I72="■",1,IF(L72="■",2,0))</f>
        <v>24:kunren_code:0</v>
      </c>
    </row>
    <row r="73" spans="1:35" ht="18.75" customHeight="1" x14ac:dyDescent="0.15">
      <c r="A73" s="107"/>
      <c r="B73" s="108"/>
      <c r="C73" s="109"/>
      <c r="D73" s="123" t="s">
        <v>348</v>
      </c>
      <c r="E73" s="111" t="s">
        <v>274</v>
      </c>
      <c r="F73" s="112"/>
      <c r="G73" s="113"/>
      <c r="H73" s="230" t="s">
        <v>122</v>
      </c>
      <c r="I73" s="194" t="s">
        <v>348</v>
      </c>
      <c r="J73" s="149" t="s">
        <v>216</v>
      </c>
      <c r="K73" s="150"/>
      <c r="L73" s="152" t="s">
        <v>348</v>
      </c>
      <c r="M73" s="149" t="s">
        <v>232</v>
      </c>
      <c r="N73" s="196"/>
      <c r="O73" s="154"/>
      <c r="P73" s="154"/>
      <c r="Q73" s="154"/>
      <c r="R73" s="154"/>
      <c r="S73" s="154"/>
      <c r="T73" s="154"/>
      <c r="U73" s="154"/>
      <c r="V73" s="154"/>
      <c r="W73" s="154"/>
      <c r="X73" s="155"/>
      <c r="Y73" s="147"/>
      <c r="Z73" s="105"/>
      <c r="AA73" s="105"/>
      <c r="AB73" s="106"/>
      <c r="AC73" s="147"/>
      <c r="AD73" s="105"/>
      <c r="AE73" s="105"/>
      <c r="AF73" s="106"/>
      <c r="AI73" s="119" t="str">
        <f>"24:kobetu_kunren_code:" &amp; IF(I73="■",1,IF(L73="■",2,0))</f>
        <v>24:kobetu_kunren_code:0</v>
      </c>
    </row>
    <row r="74" spans="1:35" ht="18.75" customHeight="1" x14ac:dyDescent="0.15">
      <c r="A74" s="128" t="s">
        <v>348</v>
      </c>
      <c r="B74" s="108">
        <v>24</v>
      </c>
      <c r="C74" s="109" t="s">
        <v>69</v>
      </c>
      <c r="D74" s="123" t="s">
        <v>348</v>
      </c>
      <c r="E74" s="111" t="s">
        <v>275</v>
      </c>
      <c r="F74" s="112"/>
      <c r="G74" s="113"/>
      <c r="H74" s="230" t="s">
        <v>424</v>
      </c>
      <c r="I74" s="194" t="s">
        <v>348</v>
      </c>
      <c r="J74" s="149" t="s">
        <v>216</v>
      </c>
      <c r="K74" s="150"/>
      <c r="L74" s="152" t="s">
        <v>348</v>
      </c>
      <c r="M74" s="149" t="s">
        <v>232</v>
      </c>
      <c r="N74" s="196"/>
      <c r="O74" s="150"/>
      <c r="P74" s="150"/>
      <c r="Q74" s="150"/>
      <c r="R74" s="150"/>
      <c r="S74" s="150"/>
      <c r="T74" s="150"/>
      <c r="U74" s="150"/>
      <c r="V74" s="150"/>
      <c r="W74" s="150"/>
      <c r="X74" s="159"/>
      <c r="Y74" s="147"/>
      <c r="Z74" s="105"/>
      <c r="AA74" s="105"/>
      <c r="AB74" s="106"/>
      <c r="AC74" s="147"/>
      <c r="AD74" s="105"/>
      <c r="AE74" s="105"/>
      <c r="AF74" s="106"/>
      <c r="AI74" s="119" t="str">
        <f>"24:jyakuninti_uke_code:" &amp; IF(I74="■",1,IF(L74="■",2,0))</f>
        <v>24:jyakuninti_uke_code:0</v>
      </c>
    </row>
    <row r="75" spans="1:35" ht="18.75" customHeight="1" x14ac:dyDescent="0.15">
      <c r="A75" s="107"/>
      <c r="B75" s="108"/>
      <c r="C75" s="109"/>
      <c r="D75" s="123" t="s">
        <v>348</v>
      </c>
      <c r="E75" s="111" t="s">
        <v>276</v>
      </c>
      <c r="F75" s="112"/>
      <c r="G75" s="113"/>
      <c r="H75" s="230" t="s">
        <v>94</v>
      </c>
      <c r="I75" s="194" t="s">
        <v>348</v>
      </c>
      <c r="J75" s="149" t="s">
        <v>230</v>
      </c>
      <c r="K75" s="150"/>
      <c r="L75" s="151"/>
      <c r="M75" s="152" t="s">
        <v>348</v>
      </c>
      <c r="N75" s="149" t="s">
        <v>231</v>
      </c>
      <c r="O75" s="154"/>
      <c r="P75" s="150"/>
      <c r="Q75" s="150"/>
      <c r="R75" s="150"/>
      <c r="S75" s="150"/>
      <c r="T75" s="150"/>
      <c r="U75" s="150"/>
      <c r="V75" s="150"/>
      <c r="W75" s="150"/>
      <c r="X75" s="159"/>
      <c r="Y75" s="147"/>
      <c r="Z75" s="105"/>
      <c r="AA75" s="105"/>
      <c r="AB75" s="106"/>
      <c r="AC75" s="147"/>
      <c r="AD75" s="105"/>
      <c r="AE75" s="105"/>
      <c r="AF75" s="106"/>
      <c r="AI75" s="119" t="str">
        <f>"24:sougei_code:" &amp; IF(I75="■",1,IF(M75="■",2,0))</f>
        <v>24:sougei_code:0</v>
      </c>
    </row>
    <row r="76" spans="1:35" ht="19.5" customHeight="1" x14ac:dyDescent="0.15">
      <c r="A76" s="107"/>
      <c r="B76" s="108"/>
      <c r="C76" s="109"/>
      <c r="D76" s="123" t="s">
        <v>348</v>
      </c>
      <c r="E76" s="111" t="s">
        <v>277</v>
      </c>
      <c r="F76" s="112"/>
      <c r="G76" s="113"/>
      <c r="H76" s="114" t="s">
        <v>372</v>
      </c>
      <c r="I76" s="194" t="s">
        <v>348</v>
      </c>
      <c r="J76" s="149" t="s">
        <v>216</v>
      </c>
      <c r="K76" s="149"/>
      <c r="L76" s="152" t="s">
        <v>348</v>
      </c>
      <c r="M76" s="149" t="s">
        <v>232</v>
      </c>
      <c r="N76" s="149"/>
      <c r="O76" s="154"/>
      <c r="P76" s="149"/>
      <c r="Q76" s="154"/>
      <c r="R76" s="154"/>
      <c r="S76" s="154"/>
      <c r="T76" s="154"/>
      <c r="U76" s="154"/>
      <c r="V76" s="154"/>
      <c r="W76" s="154"/>
      <c r="X76" s="155"/>
      <c r="Y76" s="105"/>
      <c r="Z76" s="105"/>
      <c r="AA76" s="105"/>
      <c r="AB76" s="106"/>
      <c r="AC76" s="147"/>
      <c r="AD76" s="105"/>
      <c r="AE76" s="105"/>
      <c r="AF76" s="106"/>
      <c r="AI76" s="119" t="str">
        <f>"24:field224:" &amp; IF(I76="■",1,IF(L76="■",2,0))</f>
        <v>24:field224:0</v>
      </c>
    </row>
    <row r="77" spans="1:35" ht="18.75" customHeight="1" x14ac:dyDescent="0.15">
      <c r="A77" s="107"/>
      <c r="B77" s="108"/>
      <c r="C77" s="109"/>
      <c r="D77" s="110"/>
      <c r="E77" s="111"/>
      <c r="F77" s="112"/>
      <c r="G77" s="113"/>
      <c r="H77" s="230" t="s">
        <v>106</v>
      </c>
      <c r="I77" s="194" t="s">
        <v>348</v>
      </c>
      <c r="J77" s="149" t="s">
        <v>216</v>
      </c>
      <c r="K77" s="150"/>
      <c r="L77" s="152" t="s">
        <v>348</v>
      </c>
      <c r="M77" s="149" t="s">
        <v>232</v>
      </c>
      <c r="N77" s="196"/>
      <c r="O77" s="150"/>
      <c r="P77" s="150"/>
      <c r="Q77" s="150"/>
      <c r="R77" s="150"/>
      <c r="S77" s="150"/>
      <c r="T77" s="150"/>
      <c r="U77" s="150"/>
      <c r="V77" s="150"/>
      <c r="W77" s="150"/>
      <c r="X77" s="159"/>
      <c r="Y77" s="147"/>
      <c r="Z77" s="105"/>
      <c r="AA77" s="105"/>
      <c r="AB77" s="106"/>
      <c r="AC77" s="147"/>
      <c r="AD77" s="105"/>
      <c r="AE77" s="105"/>
      <c r="AF77" s="106"/>
      <c r="AI77" s="119" t="str">
        <f>"24:ryouyoushoku_code:" &amp; IF(I77="■",1,IF(L77="■",2,0))</f>
        <v>24:ryouyoushoku_code:0</v>
      </c>
    </row>
    <row r="78" spans="1:35" ht="18.75" customHeight="1" x14ac:dyDescent="0.15">
      <c r="A78" s="107"/>
      <c r="B78" s="108"/>
      <c r="C78" s="109"/>
      <c r="D78" s="110"/>
      <c r="E78" s="111"/>
      <c r="F78" s="112"/>
      <c r="G78" s="113"/>
      <c r="H78" s="192" t="s">
        <v>109</v>
      </c>
      <c r="I78" s="194" t="s">
        <v>348</v>
      </c>
      <c r="J78" s="149" t="s">
        <v>216</v>
      </c>
      <c r="K78" s="149"/>
      <c r="L78" s="152" t="s">
        <v>348</v>
      </c>
      <c r="M78" s="149" t="s">
        <v>217</v>
      </c>
      <c r="N78" s="149"/>
      <c r="O78" s="152" t="s">
        <v>348</v>
      </c>
      <c r="P78" s="149" t="s">
        <v>218</v>
      </c>
      <c r="Q78" s="154"/>
      <c r="R78" s="154"/>
      <c r="S78" s="154"/>
      <c r="T78" s="154"/>
      <c r="U78" s="154"/>
      <c r="V78" s="154"/>
      <c r="W78" s="154"/>
      <c r="X78" s="155"/>
      <c r="Y78" s="147"/>
      <c r="Z78" s="105"/>
      <c r="AA78" s="105"/>
      <c r="AB78" s="106"/>
      <c r="AC78" s="147"/>
      <c r="AD78" s="105"/>
      <c r="AE78" s="105"/>
      <c r="AF78" s="106"/>
      <c r="AI78" s="119" t="str">
        <f>"24:ninti_senmoncare_code:" &amp; IF(I78="■",1,IF(O78="■",3,IF(L78="■",2,0)))</f>
        <v>24:ninti_senmoncare_code:0</v>
      </c>
    </row>
    <row r="79" spans="1:35" ht="18.75" customHeight="1" x14ac:dyDescent="0.15">
      <c r="A79" s="107"/>
      <c r="B79" s="108"/>
      <c r="C79" s="109"/>
      <c r="D79" s="110"/>
      <c r="E79" s="111"/>
      <c r="F79" s="112"/>
      <c r="G79" s="113"/>
      <c r="H79" s="240" t="s">
        <v>385</v>
      </c>
      <c r="I79" s="194" t="s">
        <v>348</v>
      </c>
      <c r="J79" s="149" t="s">
        <v>216</v>
      </c>
      <c r="K79" s="149"/>
      <c r="L79" s="152" t="s">
        <v>348</v>
      </c>
      <c r="M79" s="149" t="s">
        <v>217</v>
      </c>
      <c r="N79" s="149"/>
      <c r="O79" s="152" t="s">
        <v>348</v>
      </c>
      <c r="P79" s="149" t="s">
        <v>218</v>
      </c>
      <c r="Q79" s="154"/>
      <c r="R79" s="154"/>
      <c r="S79" s="154"/>
      <c r="T79" s="154"/>
      <c r="U79" s="241"/>
      <c r="V79" s="241"/>
      <c r="W79" s="241"/>
      <c r="X79" s="242"/>
      <c r="Y79" s="147"/>
      <c r="Z79" s="105"/>
      <c r="AA79" s="105"/>
      <c r="AB79" s="106"/>
      <c r="AC79" s="147"/>
      <c r="AD79" s="105"/>
      <c r="AE79" s="105"/>
      <c r="AF79" s="106"/>
      <c r="AI79" s="119" t="str">
        <f>"24:field225:" &amp; IF(I79="■",1,IF(L79="■",2,IF(O79="■",3,0)))</f>
        <v>24:field225:0</v>
      </c>
    </row>
    <row r="80" spans="1:35" ht="18.75" customHeight="1" x14ac:dyDescent="0.15">
      <c r="A80" s="107"/>
      <c r="B80" s="108"/>
      <c r="C80" s="109"/>
      <c r="D80" s="110"/>
      <c r="E80" s="111"/>
      <c r="F80" s="112"/>
      <c r="G80" s="113"/>
      <c r="H80" s="329" t="s">
        <v>200</v>
      </c>
      <c r="I80" s="360" t="s">
        <v>348</v>
      </c>
      <c r="J80" s="359" t="s">
        <v>216</v>
      </c>
      <c r="K80" s="359"/>
      <c r="L80" s="360" t="s">
        <v>348</v>
      </c>
      <c r="M80" s="359" t="s">
        <v>271</v>
      </c>
      <c r="N80" s="359"/>
      <c r="O80" s="360" t="s">
        <v>348</v>
      </c>
      <c r="P80" s="359" t="s">
        <v>272</v>
      </c>
      <c r="Q80" s="359"/>
      <c r="R80" s="360" t="s">
        <v>348</v>
      </c>
      <c r="S80" s="359" t="s">
        <v>273</v>
      </c>
      <c r="T80" s="359"/>
      <c r="U80" s="160"/>
      <c r="V80" s="160"/>
      <c r="W80" s="160"/>
      <c r="X80" s="163"/>
      <c r="Y80" s="147"/>
      <c r="Z80" s="105"/>
      <c r="AA80" s="105"/>
      <c r="AB80" s="106"/>
      <c r="AC80" s="147"/>
      <c r="AD80" s="105"/>
      <c r="AE80" s="105"/>
      <c r="AF80" s="106"/>
      <c r="AI80" s="119" t="str">
        <f>"24:serteikyo_kyoka_code:" &amp; IF(I80="■",1,IF(L80="■",6,IF(O80="■",5,IF(R80="■",7,0))))</f>
        <v>24:serteikyo_kyoka_code:0</v>
      </c>
    </row>
    <row r="81" spans="1:36" ht="18.75" customHeight="1" x14ac:dyDescent="0.15">
      <c r="A81" s="107"/>
      <c r="B81" s="108"/>
      <c r="C81" s="109"/>
      <c r="D81" s="110"/>
      <c r="E81" s="111"/>
      <c r="F81" s="112"/>
      <c r="G81" s="113"/>
      <c r="H81" s="328"/>
      <c r="I81" s="360"/>
      <c r="J81" s="359"/>
      <c r="K81" s="359"/>
      <c r="L81" s="360"/>
      <c r="M81" s="359"/>
      <c r="N81" s="359"/>
      <c r="O81" s="360"/>
      <c r="P81" s="359"/>
      <c r="Q81" s="359"/>
      <c r="R81" s="360"/>
      <c r="S81" s="359"/>
      <c r="T81" s="359"/>
      <c r="U81" s="115"/>
      <c r="V81" s="115"/>
      <c r="W81" s="115"/>
      <c r="X81" s="161"/>
      <c r="Y81" s="147"/>
      <c r="Z81" s="105"/>
      <c r="AA81" s="105"/>
      <c r="AB81" s="106"/>
      <c r="AC81" s="147"/>
      <c r="AD81" s="105"/>
      <c r="AE81" s="105"/>
      <c r="AF81" s="106"/>
      <c r="AI81" s="119"/>
    </row>
    <row r="82" spans="1:36" ht="18.75" customHeight="1" x14ac:dyDescent="0.15">
      <c r="A82" s="107"/>
      <c r="B82" s="108"/>
      <c r="C82" s="109"/>
      <c r="D82" s="110"/>
      <c r="E82" s="111"/>
      <c r="F82" s="112"/>
      <c r="G82" s="113"/>
      <c r="H82" s="329" t="s">
        <v>426</v>
      </c>
      <c r="I82" s="360" t="s">
        <v>348</v>
      </c>
      <c r="J82" s="359" t="s">
        <v>216</v>
      </c>
      <c r="K82" s="359"/>
      <c r="L82" s="360" t="s">
        <v>348</v>
      </c>
      <c r="M82" s="359" t="s">
        <v>271</v>
      </c>
      <c r="N82" s="359"/>
      <c r="O82" s="360" t="s">
        <v>348</v>
      </c>
      <c r="P82" s="359" t="s">
        <v>272</v>
      </c>
      <c r="Q82" s="359"/>
      <c r="R82" s="360" t="s">
        <v>348</v>
      </c>
      <c r="S82" s="359" t="s">
        <v>273</v>
      </c>
      <c r="T82" s="359"/>
      <c r="U82" s="160"/>
      <c r="V82" s="160"/>
      <c r="W82" s="160"/>
      <c r="X82" s="163"/>
      <c r="Y82" s="147"/>
      <c r="Z82" s="105"/>
      <c r="AA82" s="105"/>
      <c r="AB82" s="106"/>
      <c r="AC82" s="147"/>
      <c r="AD82" s="105"/>
      <c r="AE82" s="105"/>
      <c r="AF82" s="106"/>
      <c r="AI82" s="119" t="str">
        <f>"24:serteikyo_kyoka_kuushou_code:" &amp; IF(I82="■",1,IF(L82="■",6,IF(O82="■",5,IF(R82="■",7,0))))</f>
        <v>24:serteikyo_kyoka_kuushou_code:0</v>
      </c>
    </row>
    <row r="83" spans="1:36" ht="18.75" customHeight="1" x14ac:dyDescent="0.15">
      <c r="A83" s="107"/>
      <c r="B83" s="108"/>
      <c r="C83" s="109"/>
      <c r="D83" s="110"/>
      <c r="E83" s="111"/>
      <c r="F83" s="112"/>
      <c r="G83" s="113"/>
      <c r="H83" s="328"/>
      <c r="I83" s="360"/>
      <c r="J83" s="359"/>
      <c r="K83" s="359"/>
      <c r="L83" s="360"/>
      <c r="M83" s="359"/>
      <c r="N83" s="359"/>
      <c r="O83" s="360"/>
      <c r="P83" s="359"/>
      <c r="Q83" s="359"/>
      <c r="R83" s="360"/>
      <c r="S83" s="359"/>
      <c r="T83" s="359"/>
      <c r="U83" s="115"/>
      <c r="V83" s="115"/>
      <c r="W83" s="115"/>
      <c r="X83" s="161"/>
      <c r="Y83" s="147"/>
      <c r="Z83" s="105"/>
      <c r="AA83" s="105"/>
      <c r="AB83" s="106"/>
      <c r="AC83" s="147"/>
      <c r="AD83" s="105"/>
      <c r="AE83" s="105"/>
      <c r="AF83" s="106"/>
      <c r="AI83" s="119"/>
    </row>
    <row r="84" spans="1:36" ht="18.75" customHeight="1" x14ac:dyDescent="0.15">
      <c r="A84" s="107"/>
      <c r="B84" s="108"/>
      <c r="C84" s="109"/>
      <c r="D84" s="110"/>
      <c r="E84" s="111"/>
      <c r="F84" s="112"/>
      <c r="G84" s="113"/>
      <c r="H84" s="329" t="s">
        <v>409</v>
      </c>
      <c r="I84" s="360" t="s">
        <v>348</v>
      </c>
      <c r="J84" s="359" t="s">
        <v>216</v>
      </c>
      <c r="K84" s="359"/>
      <c r="L84" s="360" t="s">
        <v>348</v>
      </c>
      <c r="M84" s="359" t="s">
        <v>232</v>
      </c>
      <c r="N84" s="359"/>
      <c r="O84" s="160"/>
      <c r="P84" s="160"/>
      <c r="Q84" s="160"/>
      <c r="R84" s="160"/>
      <c r="S84" s="160"/>
      <c r="T84" s="160"/>
      <c r="U84" s="160"/>
      <c r="V84" s="160"/>
      <c r="W84" s="160"/>
      <c r="X84" s="163"/>
      <c r="Y84" s="147"/>
      <c r="Z84" s="105"/>
      <c r="AA84" s="105"/>
      <c r="AB84" s="106"/>
      <c r="AC84" s="147"/>
      <c r="AD84" s="105"/>
      <c r="AE84" s="105"/>
      <c r="AF84" s="106"/>
      <c r="AI84" s="119" t="str">
        <f>"24:field221:" &amp; IF(I84="■",1,IF(L84="■",2,0))</f>
        <v>24:field221:0</v>
      </c>
    </row>
    <row r="85" spans="1:36" ht="18.75" customHeight="1" x14ac:dyDescent="0.15">
      <c r="A85" s="107"/>
      <c r="B85" s="108"/>
      <c r="C85" s="109"/>
      <c r="D85" s="110"/>
      <c r="E85" s="111"/>
      <c r="F85" s="112"/>
      <c r="G85" s="113"/>
      <c r="H85" s="328"/>
      <c r="I85" s="360"/>
      <c r="J85" s="359"/>
      <c r="K85" s="359"/>
      <c r="L85" s="360"/>
      <c r="M85" s="359"/>
      <c r="N85" s="359"/>
      <c r="O85" s="115"/>
      <c r="P85" s="115"/>
      <c r="Q85" s="115"/>
      <c r="R85" s="115"/>
      <c r="S85" s="115"/>
      <c r="T85" s="115"/>
      <c r="U85" s="115"/>
      <c r="V85" s="115"/>
      <c r="W85" s="115"/>
      <c r="X85" s="161"/>
      <c r="Y85" s="147"/>
      <c r="Z85" s="105"/>
      <c r="AA85" s="105"/>
      <c r="AB85" s="106"/>
      <c r="AC85" s="147"/>
      <c r="AD85" s="105"/>
      <c r="AE85" s="105"/>
      <c r="AF85" s="106"/>
    </row>
    <row r="86" spans="1:36" ht="18.75" customHeight="1" x14ac:dyDescent="0.15">
      <c r="A86" s="170"/>
      <c r="B86" s="171"/>
      <c r="C86" s="172"/>
      <c r="D86" s="173"/>
      <c r="E86" s="174"/>
      <c r="F86" s="175"/>
      <c r="G86" s="176"/>
      <c r="H86" s="95" t="s">
        <v>405</v>
      </c>
      <c r="I86" s="177" t="s">
        <v>348</v>
      </c>
      <c r="J86" s="96" t="s">
        <v>216</v>
      </c>
      <c r="K86" s="96"/>
      <c r="L86" s="178" t="s">
        <v>348</v>
      </c>
      <c r="M86" s="96" t="s">
        <v>373</v>
      </c>
      <c r="N86" s="97"/>
      <c r="O86" s="178" t="s">
        <v>348</v>
      </c>
      <c r="P86" s="99" t="s">
        <v>374</v>
      </c>
      <c r="Q86" s="98"/>
      <c r="R86" s="178" t="s">
        <v>348</v>
      </c>
      <c r="S86" s="96" t="s">
        <v>375</v>
      </c>
      <c r="T86" s="98"/>
      <c r="U86" s="178" t="s">
        <v>348</v>
      </c>
      <c r="V86" s="96" t="s">
        <v>376</v>
      </c>
      <c r="W86" s="100"/>
      <c r="X86" s="101"/>
      <c r="Y86" s="179"/>
      <c r="Z86" s="179"/>
      <c r="AA86" s="179"/>
      <c r="AB86" s="180"/>
      <c r="AC86" s="181"/>
      <c r="AD86" s="179"/>
      <c r="AE86" s="179"/>
      <c r="AF86" s="180"/>
      <c r="AG86" s="119"/>
      <c r="AH86" s="119"/>
      <c r="AI86" s="119" t="str">
        <f>"24:shoguukaizen_code:"&amp;IF(I86="■",1,IF(L86="■",7,IF(O86="■",8,IF(R86="■",9,IF(U86="■","A",0)))))</f>
        <v>24:shoguukaizen_code:0</v>
      </c>
    </row>
    <row r="87" spans="1:36" ht="18.75" customHeight="1" x14ac:dyDescent="0.15">
      <c r="A87" s="130"/>
      <c r="B87" s="131"/>
      <c r="C87" s="132"/>
      <c r="D87" s="133"/>
      <c r="E87" s="126"/>
      <c r="F87" s="134"/>
      <c r="G87" s="126"/>
      <c r="H87" s="214" t="s">
        <v>96</v>
      </c>
      <c r="I87" s="194" t="s">
        <v>348</v>
      </c>
      <c r="J87" s="184" t="s">
        <v>265</v>
      </c>
      <c r="K87" s="185"/>
      <c r="L87" s="186"/>
      <c r="M87" s="187" t="s">
        <v>348</v>
      </c>
      <c r="N87" s="184" t="s">
        <v>266</v>
      </c>
      <c r="O87" s="222"/>
      <c r="P87" s="185"/>
      <c r="Q87" s="185"/>
      <c r="R87" s="185"/>
      <c r="S87" s="185"/>
      <c r="T87" s="185"/>
      <c r="U87" s="185"/>
      <c r="V87" s="185"/>
      <c r="W87" s="185"/>
      <c r="X87" s="250"/>
      <c r="Y87" s="136" t="s">
        <v>348</v>
      </c>
      <c r="Z87" s="124" t="s">
        <v>215</v>
      </c>
      <c r="AA87" s="124"/>
      <c r="AB87" s="139"/>
      <c r="AC87" s="403"/>
      <c r="AD87" s="404"/>
      <c r="AE87" s="404"/>
      <c r="AF87" s="405"/>
      <c r="AG87" s="119" t="str">
        <f>"ser_code = '" &amp; IF(A97="■",25,"") &amp; "'"</f>
        <v>ser_code = ''</v>
      </c>
      <c r="AH87" s="119" t="str">
        <f>"25:jininkbn_code:" &amp; IF(F97="■",1,IF(F98="■",2,0))</f>
        <v>25:jininkbn_code:0</v>
      </c>
      <c r="AI87" s="119" t="str">
        <f>"25:yakan_kinmu_code:" &amp; IF(I87="■",1,IF(M87="■",6,0))</f>
        <v>25:yakan_kinmu_code:0</v>
      </c>
      <c r="AJ87" s="119" t="str">
        <f>"25:field203:" &amp; IF(Y87="■",1,IF(Y88="■",2,0))</f>
        <v>25:field203:0</v>
      </c>
    </row>
    <row r="88" spans="1:36" ht="18.75" customHeight="1" x14ac:dyDescent="0.15">
      <c r="A88" s="107"/>
      <c r="B88" s="108"/>
      <c r="C88" s="109"/>
      <c r="D88" s="110"/>
      <c r="E88" s="111"/>
      <c r="F88" s="112"/>
      <c r="G88" s="111"/>
      <c r="H88" s="370" t="s">
        <v>92</v>
      </c>
      <c r="I88" s="194" t="s">
        <v>348</v>
      </c>
      <c r="J88" s="104" t="s">
        <v>216</v>
      </c>
      <c r="K88" s="104"/>
      <c r="L88" s="212"/>
      <c r="M88" s="123" t="s">
        <v>348</v>
      </c>
      <c r="N88" s="104" t="s">
        <v>254</v>
      </c>
      <c r="O88" s="104"/>
      <c r="P88" s="212"/>
      <c r="Q88" s="123" t="s">
        <v>348</v>
      </c>
      <c r="R88" s="103" t="s">
        <v>255</v>
      </c>
      <c r="U88" s="123" t="s">
        <v>348</v>
      </c>
      <c r="V88" s="103" t="s">
        <v>256</v>
      </c>
      <c r="X88" s="165"/>
      <c r="Y88" s="123" t="s">
        <v>348</v>
      </c>
      <c r="Z88" s="104" t="s">
        <v>221</v>
      </c>
      <c r="AA88" s="105"/>
      <c r="AB88" s="106"/>
      <c r="AC88" s="406"/>
      <c r="AD88" s="407"/>
      <c r="AE88" s="407"/>
      <c r="AF88" s="408"/>
      <c r="AG88" s="119" t="str">
        <f>"25:sisetukbn_code:" &amp; IF(D97="■",1,IF(D98="■",2,0))</f>
        <v>25:sisetukbn_code:0</v>
      </c>
      <c r="AH88" s="119"/>
      <c r="AI88" s="119" t="str">
        <f>"25:"&amp;IF(AND(I88="□",M88="□",Q88="□",U88="□",I89="□",M89="□",Q89="□"),"ketu_doctor_code:0",IF(I88="■","ketu_doctor_code:1:ketu_kangos_code:1:ketu_kshoku_code:1:ketu_rryoho_code:1:ketu_sryoho_code:1:ketu_gengo_code:1",
IF(M88="■","ketu_doctor_code:2","ketu_doctor_code:1")
&amp;IF(Q88="■",":ketu_kangos_code:2",":ketu_kangos_code:1")
&amp;IF(U88="■",":ketu_kshoku_code:2",":ketu_kshoku_code:1")
&amp;IF(I89="■",":ketu_rryoho_code:2",":ketu_rryoho_code:1")
&amp;IF(M89="■",":ketu_sryoho_code:2",":ketu_sryoho_code:1")
&amp;IF(Q89="■",":ketu_gengo_code:2",":ketu_gengo_code:1")))</f>
        <v>25:ketu_doctor_code:0</v>
      </c>
      <c r="AJ88" s="119"/>
    </row>
    <row r="89" spans="1:36" ht="18.75" customHeight="1" x14ac:dyDescent="0.15">
      <c r="A89" s="107"/>
      <c r="B89" s="108"/>
      <c r="C89" s="109"/>
      <c r="D89" s="110"/>
      <c r="E89" s="111"/>
      <c r="F89" s="112"/>
      <c r="G89" s="111"/>
      <c r="H89" s="371"/>
      <c r="I89" s="128" t="s">
        <v>348</v>
      </c>
      <c r="J89" s="115" t="s">
        <v>257</v>
      </c>
      <c r="K89" s="144"/>
      <c r="L89" s="144"/>
      <c r="M89" s="191" t="s">
        <v>348</v>
      </c>
      <c r="N89" s="115" t="s">
        <v>258</v>
      </c>
      <c r="O89" s="144"/>
      <c r="P89" s="144"/>
      <c r="Q89" s="191" t="s">
        <v>348</v>
      </c>
      <c r="R89" s="115" t="s">
        <v>259</v>
      </c>
      <c r="S89" s="144"/>
      <c r="T89" s="144"/>
      <c r="U89" s="144"/>
      <c r="V89" s="144"/>
      <c r="W89" s="144"/>
      <c r="X89" s="226"/>
      <c r="Y89" s="147"/>
      <c r="Z89" s="105"/>
      <c r="AA89" s="105"/>
      <c r="AB89" s="106"/>
      <c r="AC89" s="406"/>
      <c r="AD89" s="407"/>
      <c r="AE89" s="407"/>
      <c r="AF89" s="408"/>
      <c r="AG89" s="119"/>
      <c r="AH89" s="119"/>
      <c r="AI89" s="119"/>
      <c r="AJ89" s="119"/>
    </row>
    <row r="90" spans="1:36" ht="18.75" customHeight="1" x14ac:dyDescent="0.15">
      <c r="A90" s="107"/>
      <c r="B90" s="108"/>
      <c r="C90" s="109"/>
      <c r="D90" s="110"/>
      <c r="E90" s="111"/>
      <c r="F90" s="112"/>
      <c r="G90" s="111"/>
      <c r="H90" s="230" t="s">
        <v>97</v>
      </c>
      <c r="I90" s="194" t="s">
        <v>348</v>
      </c>
      <c r="J90" s="149" t="s">
        <v>230</v>
      </c>
      <c r="K90" s="150"/>
      <c r="L90" s="151"/>
      <c r="M90" s="152" t="s">
        <v>348</v>
      </c>
      <c r="N90" s="149" t="s">
        <v>231</v>
      </c>
      <c r="O90" s="154"/>
      <c r="P90" s="150"/>
      <c r="Q90" s="150"/>
      <c r="R90" s="150"/>
      <c r="S90" s="150"/>
      <c r="T90" s="150"/>
      <c r="U90" s="150"/>
      <c r="V90" s="150"/>
      <c r="W90" s="150"/>
      <c r="X90" s="159"/>
      <c r="Y90" s="147"/>
      <c r="Z90" s="105"/>
      <c r="AA90" s="105"/>
      <c r="AB90" s="106"/>
      <c r="AC90" s="406"/>
      <c r="AD90" s="407"/>
      <c r="AE90" s="407"/>
      <c r="AF90" s="408"/>
      <c r="AI90" s="119" t="str">
        <f>"25:unitcare_code:" &amp; IF(I90="■",1,IF(M90="■",2,0))</f>
        <v>25:unitcare_code:0</v>
      </c>
    </row>
    <row r="91" spans="1:36" s="119" customFormat="1" ht="18.75" customHeight="1" x14ac:dyDescent="0.15">
      <c r="A91" s="107"/>
      <c r="B91" s="108"/>
      <c r="C91" s="238"/>
      <c r="D91" s="239"/>
      <c r="E91" s="111"/>
      <c r="F91" s="112"/>
      <c r="G91" s="113"/>
      <c r="H91" s="230" t="s">
        <v>103</v>
      </c>
      <c r="I91" s="148" t="s">
        <v>348</v>
      </c>
      <c r="J91" s="149" t="s">
        <v>360</v>
      </c>
      <c r="K91" s="150"/>
      <c r="L91" s="151"/>
      <c r="M91" s="152" t="s">
        <v>348</v>
      </c>
      <c r="N91" s="149" t="s">
        <v>361</v>
      </c>
      <c r="O91" s="150"/>
      <c r="P91" s="150"/>
      <c r="Q91" s="150"/>
      <c r="R91" s="150"/>
      <c r="S91" s="150"/>
      <c r="T91" s="150"/>
      <c r="U91" s="150"/>
      <c r="V91" s="150"/>
      <c r="W91" s="150"/>
      <c r="X91" s="159"/>
      <c r="Y91" s="147"/>
      <c r="Z91" s="105"/>
      <c r="AA91" s="105"/>
      <c r="AB91" s="106"/>
      <c r="AC91" s="406"/>
      <c r="AD91" s="407"/>
      <c r="AE91" s="407"/>
      <c r="AF91" s="408"/>
      <c r="AI91" s="119" t="str">
        <f>"25:sintaikousoku_code:" &amp; IF(I91="■",1,IF(M91="■",2,0))</f>
        <v>25:sintaikousoku_code:0</v>
      </c>
    </row>
    <row r="92" spans="1:36" ht="19.5" customHeight="1" x14ac:dyDescent="0.15">
      <c r="A92" s="107"/>
      <c r="B92" s="108"/>
      <c r="C92" s="109"/>
      <c r="D92" s="110"/>
      <c r="E92" s="111"/>
      <c r="F92" s="112"/>
      <c r="G92" s="113"/>
      <c r="H92" s="114" t="s">
        <v>369</v>
      </c>
      <c r="I92" s="194" t="s">
        <v>348</v>
      </c>
      <c r="J92" s="149" t="s">
        <v>360</v>
      </c>
      <c r="K92" s="150"/>
      <c r="L92" s="151"/>
      <c r="M92" s="152" t="s">
        <v>348</v>
      </c>
      <c r="N92" s="149" t="s">
        <v>370</v>
      </c>
      <c r="O92" s="149"/>
      <c r="P92" s="149"/>
      <c r="Q92" s="154"/>
      <c r="R92" s="154"/>
      <c r="S92" s="154"/>
      <c r="T92" s="154"/>
      <c r="U92" s="154"/>
      <c r="V92" s="154"/>
      <c r="W92" s="154"/>
      <c r="X92" s="155"/>
      <c r="Y92" s="105"/>
      <c r="Z92" s="105"/>
      <c r="AA92" s="105"/>
      <c r="AB92" s="106"/>
      <c r="AC92" s="406"/>
      <c r="AD92" s="407"/>
      <c r="AE92" s="407"/>
      <c r="AF92" s="408"/>
      <c r="AI92" s="119" t="str">
        <f>"25:field223:" &amp; IF(I92="■",1,IF(M92="■",2,0))</f>
        <v>25:field223:0</v>
      </c>
    </row>
    <row r="93" spans="1:36" ht="19.5" customHeight="1" x14ac:dyDescent="0.15">
      <c r="A93" s="107"/>
      <c r="B93" s="108"/>
      <c r="C93" s="109"/>
      <c r="D93" s="110"/>
      <c r="E93" s="111"/>
      <c r="F93" s="112"/>
      <c r="G93" s="113"/>
      <c r="H93" s="114" t="s">
        <v>390</v>
      </c>
      <c r="I93" s="194" t="s">
        <v>348</v>
      </c>
      <c r="J93" s="115" t="s">
        <v>360</v>
      </c>
      <c r="K93" s="166"/>
      <c r="L93" s="116"/>
      <c r="M93" s="191" t="s">
        <v>348</v>
      </c>
      <c r="N93" s="115" t="s">
        <v>370</v>
      </c>
      <c r="O93" s="115"/>
      <c r="P93" s="115"/>
      <c r="Q93" s="145"/>
      <c r="R93" s="145"/>
      <c r="S93" s="145"/>
      <c r="T93" s="145"/>
      <c r="U93" s="145"/>
      <c r="V93" s="145"/>
      <c r="W93" s="145"/>
      <c r="X93" s="146"/>
      <c r="Y93" s="105"/>
      <c r="Z93" s="104"/>
      <c r="AA93" s="105"/>
      <c r="AB93" s="106"/>
      <c r="AC93" s="406"/>
      <c r="AD93" s="407"/>
      <c r="AE93" s="407"/>
      <c r="AF93" s="408"/>
      <c r="AI93" s="119" t="str">
        <f>"25:field232:" &amp; IF(I93="■",1,IF(M93="■",2,0))</f>
        <v>25:field232:0</v>
      </c>
    </row>
    <row r="94" spans="1:36" ht="19.5" customHeight="1" x14ac:dyDescent="0.15">
      <c r="A94" s="107"/>
      <c r="B94" s="108"/>
      <c r="C94" s="109"/>
      <c r="D94" s="110"/>
      <c r="E94" s="111"/>
      <c r="F94" s="112"/>
      <c r="G94" s="113"/>
      <c r="H94" s="114" t="s">
        <v>455</v>
      </c>
      <c r="I94" s="148" t="s">
        <v>348</v>
      </c>
      <c r="J94" s="115" t="s">
        <v>453</v>
      </c>
      <c r="K94" s="166"/>
      <c r="L94" s="116"/>
      <c r="M94" s="152" t="s">
        <v>348</v>
      </c>
      <c r="N94" s="115" t="s">
        <v>454</v>
      </c>
      <c r="O94" s="236"/>
      <c r="P94" s="115"/>
      <c r="Q94" s="145"/>
      <c r="R94" s="145"/>
      <c r="S94" s="145"/>
      <c r="T94" s="145"/>
      <c r="U94" s="145"/>
      <c r="V94" s="145"/>
      <c r="W94" s="145"/>
      <c r="X94" s="146"/>
      <c r="Y94" s="162"/>
      <c r="Z94" s="104"/>
      <c r="AA94" s="105"/>
      <c r="AB94" s="106"/>
      <c r="AC94" s="406"/>
      <c r="AD94" s="407"/>
      <c r="AE94" s="407"/>
      <c r="AF94" s="408"/>
      <c r="AI94" s="119" t="str">
        <f>"25:field242:" &amp; IF(I94="■",1,IF(M94="■",2,0))</f>
        <v>25:field242:0</v>
      </c>
    </row>
    <row r="95" spans="1:36" ht="18.75" customHeight="1" x14ac:dyDescent="0.15">
      <c r="A95" s="107"/>
      <c r="B95" s="108"/>
      <c r="C95" s="109"/>
      <c r="D95" s="110"/>
      <c r="E95" s="111"/>
      <c r="F95" s="112"/>
      <c r="G95" s="111"/>
      <c r="H95" s="230" t="s">
        <v>105</v>
      </c>
      <c r="I95" s="194" t="s">
        <v>348</v>
      </c>
      <c r="J95" s="149" t="s">
        <v>216</v>
      </c>
      <c r="K95" s="150"/>
      <c r="L95" s="152" t="s">
        <v>348</v>
      </c>
      <c r="M95" s="149" t="s">
        <v>232</v>
      </c>
      <c r="N95" s="196"/>
      <c r="O95" s="150"/>
      <c r="P95" s="150"/>
      <c r="Q95" s="150"/>
      <c r="R95" s="150"/>
      <c r="S95" s="150"/>
      <c r="T95" s="150"/>
      <c r="U95" s="150"/>
      <c r="V95" s="150"/>
      <c r="W95" s="150"/>
      <c r="X95" s="159"/>
      <c r="Y95" s="147"/>
      <c r="Z95" s="105"/>
      <c r="AA95" s="105"/>
      <c r="AB95" s="106"/>
      <c r="AC95" s="406"/>
      <c r="AD95" s="407"/>
      <c r="AE95" s="407"/>
      <c r="AF95" s="408"/>
      <c r="AI95" s="119" t="str">
        <f>"25:yakinhaiti_code:" &amp; IF(I95="■",1,IF(L95="■",2,0))</f>
        <v>25:yakinhaiti_code:0</v>
      </c>
    </row>
    <row r="96" spans="1:36" ht="18.75" customHeight="1" x14ac:dyDescent="0.15">
      <c r="A96" s="107"/>
      <c r="B96" s="108"/>
      <c r="C96" s="109"/>
      <c r="D96" s="110"/>
      <c r="E96" s="111"/>
      <c r="F96" s="112"/>
      <c r="G96" s="111"/>
      <c r="H96" s="230" t="s">
        <v>424</v>
      </c>
      <c r="I96" s="194" t="s">
        <v>348</v>
      </c>
      <c r="J96" s="149" t="s">
        <v>216</v>
      </c>
      <c r="K96" s="150"/>
      <c r="L96" s="152" t="s">
        <v>348</v>
      </c>
      <c r="M96" s="149" t="s">
        <v>232</v>
      </c>
      <c r="N96" s="196"/>
      <c r="O96" s="150"/>
      <c r="P96" s="150"/>
      <c r="Q96" s="150"/>
      <c r="R96" s="150"/>
      <c r="S96" s="150"/>
      <c r="T96" s="150"/>
      <c r="U96" s="150"/>
      <c r="V96" s="150"/>
      <c r="W96" s="150"/>
      <c r="X96" s="159"/>
      <c r="Y96" s="147"/>
      <c r="Z96" s="105"/>
      <c r="AA96" s="105"/>
      <c r="AB96" s="106"/>
      <c r="AC96" s="406"/>
      <c r="AD96" s="407"/>
      <c r="AE96" s="407"/>
      <c r="AF96" s="408"/>
      <c r="AI96" s="119" t="str">
        <f>"25:jyakuninti_uke_code:" &amp; IF(I96="■",1,IF(L96="■",2,0))</f>
        <v>25:jyakuninti_uke_code:0</v>
      </c>
    </row>
    <row r="97" spans="1:36" ht="18.75" customHeight="1" x14ac:dyDescent="0.15">
      <c r="A97" s="128" t="s">
        <v>348</v>
      </c>
      <c r="B97" s="108">
        <v>25</v>
      </c>
      <c r="C97" s="109" t="s">
        <v>427</v>
      </c>
      <c r="D97" s="128" t="s">
        <v>348</v>
      </c>
      <c r="E97" s="111" t="s">
        <v>559</v>
      </c>
      <c r="F97" s="128" t="s">
        <v>348</v>
      </c>
      <c r="G97" s="111" t="s">
        <v>278</v>
      </c>
      <c r="H97" s="230" t="s">
        <v>189</v>
      </c>
      <c r="I97" s="194" t="s">
        <v>348</v>
      </c>
      <c r="J97" s="149" t="s">
        <v>216</v>
      </c>
      <c r="K97" s="149"/>
      <c r="L97" s="191" t="s">
        <v>348</v>
      </c>
      <c r="M97" s="149" t="s">
        <v>217</v>
      </c>
      <c r="N97" s="149"/>
      <c r="O97" s="152" t="s">
        <v>348</v>
      </c>
      <c r="P97" s="149" t="s">
        <v>218</v>
      </c>
      <c r="Q97" s="154"/>
      <c r="R97" s="149"/>
      <c r="S97" s="149"/>
      <c r="T97" s="149"/>
      <c r="U97" s="149"/>
      <c r="V97" s="149"/>
      <c r="W97" s="149"/>
      <c r="X97" s="158"/>
      <c r="Y97" s="147"/>
      <c r="Z97" s="105"/>
      <c r="AA97" s="105"/>
      <c r="AB97" s="106"/>
      <c r="AC97" s="406"/>
      <c r="AD97" s="407"/>
      <c r="AE97" s="407"/>
      <c r="AF97" s="408"/>
      <c r="AI97" s="119" t="str">
        <f>"25:zaitaku_hukki_code:" &amp; IF(I97="■",1,IF(L97="■",2,IF(O97="■",3,0)))</f>
        <v>25:zaitaku_hukki_code:0</v>
      </c>
    </row>
    <row r="98" spans="1:36" ht="18.75" customHeight="1" x14ac:dyDescent="0.15">
      <c r="A98" s="107"/>
      <c r="B98" s="108"/>
      <c r="C98" s="109"/>
      <c r="D98" s="110"/>
      <c r="E98" s="111"/>
      <c r="F98" s="128" t="s">
        <v>348</v>
      </c>
      <c r="G98" s="111" t="s">
        <v>279</v>
      </c>
      <c r="H98" s="230" t="s">
        <v>94</v>
      </c>
      <c r="I98" s="194" t="s">
        <v>348</v>
      </c>
      <c r="J98" s="149" t="s">
        <v>230</v>
      </c>
      <c r="K98" s="150"/>
      <c r="L98" s="151"/>
      <c r="M98" s="152" t="s">
        <v>348</v>
      </c>
      <c r="N98" s="149" t="s">
        <v>231</v>
      </c>
      <c r="O98" s="154"/>
      <c r="P98" s="150"/>
      <c r="Q98" s="150"/>
      <c r="R98" s="150"/>
      <c r="S98" s="150"/>
      <c r="T98" s="150"/>
      <c r="U98" s="150"/>
      <c r="V98" s="150"/>
      <c r="W98" s="150"/>
      <c r="X98" s="159"/>
      <c r="Y98" s="147"/>
      <c r="Z98" s="105"/>
      <c r="AA98" s="105"/>
      <c r="AB98" s="106"/>
      <c r="AC98" s="406"/>
      <c r="AD98" s="407"/>
      <c r="AE98" s="407"/>
      <c r="AF98" s="408"/>
      <c r="AI98" s="119" t="str">
        <f>"25:sougei_code:" &amp; IF(I98="■",1,IF(M98="■",2,0))</f>
        <v>25:sougei_code:0</v>
      </c>
    </row>
    <row r="99" spans="1:36" ht="19.5" customHeight="1" x14ac:dyDescent="0.15">
      <c r="A99" s="107"/>
      <c r="B99" s="108"/>
      <c r="C99" s="109"/>
      <c r="D99" s="110"/>
      <c r="E99" s="111"/>
      <c r="F99" s="112"/>
      <c r="G99" s="111"/>
      <c r="H99" s="114" t="s">
        <v>372</v>
      </c>
      <c r="I99" s="194" t="s">
        <v>348</v>
      </c>
      <c r="J99" s="149" t="s">
        <v>216</v>
      </c>
      <c r="K99" s="149"/>
      <c r="L99" s="152" t="s">
        <v>348</v>
      </c>
      <c r="M99" s="149" t="s">
        <v>232</v>
      </c>
      <c r="N99" s="149"/>
      <c r="O99" s="154"/>
      <c r="P99" s="149"/>
      <c r="Q99" s="154"/>
      <c r="R99" s="154"/>
      <c r="S99" s="154"/>
      <c r="T99" s="154"/>
      <c r="U99" s="154"/>
      <c r="V99" s="154"/>
      <c r="W99" s="154"/>
      <c r="X99" s="155"/>
      <c r="Y99" s="105"/>
      <c r="Z99" s="105"/>
      <c r="AA99" s="105"/>
      <c r="AB99" s="106"/>
      <c r="AC99" s="406"/>
      <c r="AD99" s="407"/>
      <c r="AE99" s="407"/>
      <c r="AF99" s="408"/>
      <c r="AI99" s="119" t="str">
        <f>"25:field224:" &amp; IF(I99="■",1,IF(L99="■",2,0))</f>
        <v>25:field224:0</v>
      </c>
    </row>
    <row r="100" spans="1:36" ht="18.75" customHeight="1" x14ac:dyDescent="0.15">
      <c r="A100" s="107"/>
      <c r="B100" s="108"/>
      <c r="C100" s="109"/>
      <c r="D100" s="110"/>
      <c r="E100" s="111"/>
      <c r="F100" s="112"/>
      <c r="G100" s="111"/>
      <c r="H100" s="230" t="s">
        <v>106</v>
      </c>
      <c r="I100" s="194" t="s">
        <v>348</v>
      </c>
      <c r="J100" s="149" t="s">
        <v>216</v>
      </c>
      <c r="K100" s="150"/>
      <c r="L100" s="152" t="s">
        <v>348</v>
      </c>
      <c r="M100" s="149" t="s">
        <v>232</v>
      </c>
      <c r="N100" s="196"/>
      <c r="O100" s="150"/>
      <c r="P100" s="150"/>
      <c r="Q100" s="150"/>
      <c r="R100" s="150"/>
      <c r="S100" s="150"/>
      <c r="T100" s="150"/>
      <c r="U100" s="150"/>
      <c r="V100" s="150"/>
      <c r="W100" s="150"/>
      <c r="X100" s="159"/>
      <c r="Y100" s="147"/>
      <c r="Z100" s="105"/>
      <c r="AA100" s="105"/>
      <c r="AB100" s="106"/>
      <c r="AC100" s="406"/>
      <c r="AD100" s="407"/>
      <c r="AE100" s="407"/>
      <c r="AF100" s="408"/>
      <c r="AI100" s="119" t="str">
        <f>"25:ryouyoushoku_code:" &amp; IF(I100="■",1,IF(L100="■",2,0))</f>
        <v>25:ryouyoushoku_code:0</v>
      </c>
    </row>
    <row r="101" spans="1:36" ht="18.75" customHeight="1" x14ac:dyDescent="0.15">
      <c r="A101" s="107"/>
      <c r="B101" s="108"/>
      <c r="C101" s="109"/>
      <c r="D101" s="110"/>
      <c r="E101" s="111"/>
      <c r="F101" s="112"/>
      <c r="G101" s="111"/>
      <c r="H101" s="230" t="s">
        <v>165</v>
      </c>
      <c r="I101" s="194" t="s">
        <v>348</v>
      </c>
      <c r="J101" s="149" t="s">
        <v>216</v>
      </c>
      <c r="K101" s="149"/>
      <c r="L101" s="152" t="s">
        <v>348</v>
      </c>
      <c r="M101" s="149" t="s">
        <v>217</v>
      </c>
      <c r="N101" s="149"/>
      <c r="O101" s="152" t="s">
        <v>348</v>
      </c>
      <c r="P101" s="149" t="s">
        <v>218</v>
      </c>
      <c r="Q101" s="154"/>
      <c r="R101" s="150"/>
      <c r="S101" s="150"/>
      <c r="T101" s="150"/>
      <c r="U101" s="150"/>
      <c r="V101" s="150"/>
      <c r="W101" s="150"/>
      <c r="X101" s="159"/>
      <c r="Y101" s="147"/>
      <c r="Z101" s="105"/>
      <c r="AA101" s="105"/>
      <c r="AB101" s="106"/>
      <c r="AC101" s="406"/>
      <c r="AD101" s="407"/>
      <c r="AE101" s="407"/>
      <c r="AF101" s="408"/>
      <c r="AI101" s="119" t="str">
        <f>"25:ninti_senmoncare_code:" &amp; IF(I101="■",1,IF(O101="■",3,IF(L101="■",2,0)))</f>
        <v>25:ninti_senmoncare_code:0</v>
      </c>
    </row>
    <row r="102" spans="1:36" ht="18.75" customHeight="1" x14ac:dyDescent="0.15">
      <c r="A102" s="107"/>
      <c r="B102" s="108"/>
      <c r="C102" s="109"/>
      <c r="D102" s="110"/>
      <c r="E102" s="111"/>
      <c r="F102" s="112"/>
      <c r="G102" s="111"/>
      <c r="H102" s="240" t="s">
        <v>385</v>
      </c>
      <c r="I102" s="194" t="s">
        <v>348</v>
      </c>
      <c r="J102" s="149" t="s">
        <v>216</v>
      </c>
      <c r="K102" s="149"/>
      <c r="L102" s="152" t="s">
        <v>348</v>
      </c>
      <c r="M102" s="149" t="s">
        <v>217</v>
      </c>
      <c r="N102" s="149"/>
      <c r="O102" s="152" t="s">
        <v>348</v>
      </c>
      <c r="P102" s="149" t="s">
        <v>218</v>
      </c>
      <c r="Q102" s="154"/>
      <c r="R102" s="154"/>
      <c r="S102" s="154"/>
      <c r="T102" s="154"/>
      <c r="U102" s="241"/>
      <c r="V102" s="241"/>
      <c r="W102" s="241"/>
      <c r="X102" s="242"/>
      <c r="Y102" s="147"/>
      <c r="Z102" s="105"/>
      <c r="AA102" s="105"/>
      <c r="AB102" s="106"/>
      <c r="AC102" s="406"/>
      <c r="AD102" s="407"/>
      <c r="AE102" s="407"/>
      <c r="AF102" s="408"/>
      <c r="AI102" s="119" t="str">
        <f>"25:field225:" &amp; IF(I102="■",1,IF(L102="■",2,IF(O102="■",3,0)))</f>
        <v>25:field225:0</v>
      </c>
    </row>
    <row r="103" spans="1:36" ht="18.75" customHeight="1" x14ac:dyDescent="0.15">
      <c r="A103" s="107"/>
      <c r="B103" s="108"/>
      <c r="C103" s="109"/>
      <c r="D103" s="110"/>
      <c r="E103" s="111"/>
      <c r="F103" s="112"/>
      <c r="G103" s="111"/>
      <c r="H103" s="227" t="s">
        <v>111</v>
      </c>
      <c r="I103" s="194" t="s">
        <v>348</v>
      </c>
      <c r="J103" s="149" t="s">
        <v>216</v>
      </c>
      <c r="K103" s="149"/>
      <c r="L103" s="152" t="s">
        <v>348</v>
      </c>
      <c r="M103" s="149" t="s">
        <v>224</v>
      </c>
      <c r="N103" s="149"/>
      <c r="O103" s="152" t="s">
        <v>348</v>
      </c>
      <c r="P103" s="149" t="s">
        <v>225</v>
      </c>
      <c r="Q103" s="196"/>
      <c r="R103" s="152" t="s">
        <v>348</v>
      </c>
      <c r="S103" s="149" t="s">
        <v>248</v>
      </c>
      <c r="T103" s="149"/>
      <c r="U103" s="149"/>
      <c r="V103" s="149"/>
      <c r="W103" s="149"/>
      <c r="X103" s="158"/>
      <c r="Y103" s="147"/>
      <c r="Z103" s="105"/>
      <c r="AA103" s="105"/>
      <c r="AB103" s="106"/>
      <c r="AC103" s="406"/>
      <c r="AD103" s="407"/>
      <c r="AE103" s="407"/>
      <c r="AF103" s="408"/>
      <c r="AI103" s="119" t="str">
        <f>"25:serteikyo_kyoka_code:" &amp; IF(I103="■",1,IF(L103="■",6,IF(O103="■",5,IF(R103="■",7,0))))</f>
        <v>25:serteikyo_kyoka_code:0</v>
      </c>
    </row>
    <row r="104" spans="1:36" ht="18.75" customHeight="1" x14ac:dyDescent="0.15">
      <c r="A104" s="107"/>
      <c r="B104" s="108"/>
      <c r="C104" s="109"/>
      <c r="D104" s="110"/>
      <c r="E104" s="111"/>
      <c r="F104" s="112"/>
      <c r="G104" s="111"/>
      <c r="H104" s="329" t="s">
        <v>409</v>
      </c>
      <c r="I104" s="360" t="s">
        <v>348</v>
      </c>
      <c r="J104" s="359" t="s">
        <v>216</v>
      </c>
      <c r="K104" s="359"/>
      <c r="L104" s="360" t="s">
        <v>348</v>
      </c>
      <c r="M104" s="359" t="s">
        <v>232</v>
      </c>
      <c r="N104" s="359"/>
      <c r="O104" s="160"/>
      <c r="P104" s="160"/>
      <c r="Q104" s="160"/>
      <c r="R104" s="160"/>
      <c r="S104" s="160"/>
      <c r="T104" s="160"/>
      <c r="U104" s="160"/>
      <c r="V104" s="160"/>
      <c r="W104" s="160"/>
      <c r="X104" s="163"/>
      <c r="Y104" s="147"/>
      <c r="Z104" s="105"/>
      <c r="AA104" s="105"/>
      <c r="AB104" s="106"/>
      <c r="AC104" s="406"/>
      <c r="AD104" s="407"/>
      <c r="AE104" s="407"/>
      <c r="AF104" s="408"/>
      <c r="AI104" s="119" t="str">
        <f>"25:field221:" &amp; IF(I104="■",1,IF(L104="■",2,0))</f>
        <v>25:field221:0</v>
      </c>
    </row>
    <row r="105" spans="1:36" ht="18.75" customHeight="1" x14ac:dyDescent="0.15">
      <c r="A105" s="107"/>
      <c r="B105" s="108"/>
      <c r="C105" s="109"/>
      <c r="D105" s="110"/>
      <c r="E105" s="111"/>
      <c r="F105" s="112"/>
      <c r="G105" s="111"/>
      <c r="H105" s="328"/>
      <c r="I105" s="360"/>
      <c r="J105" s="359"/>
      <c r="K105" s="359"/>
      <c r="L105" s="360"/>
      <c r="M105" s="359"/>
      <c r="N105" s="359"/>
      <c r="O105" s="115"/>
      <c r="P105" s="115"/>
      <c r="Q105" s="115"/>
      <c r="R105" s="115"/>
      <c r="S105" s="115"/>
      <c r="T105" s="115"/>
      <c r="U105" s="115"/>
      <c r="V105" s="115"/>
      <c r="W105" s="115"/>
      <c r="X105" s="161"/>
      <c r="Y105" s="147"/>
      <c r="Z105" s="105"/>
      <c r="AA105" s="105"/>
      <c r="AB105" s="106"/>
      <c r="AC105" s="406"/>
      <c r="AD105" s="407"/>
      <c r="AE105" s="407"/>
      <c r="AF105" s="408"/>
    </row>
    <row r="106" spans="1:36" ht="18.75" customHeight="1" x14ac:dyDescent="0.15">
      <c r="A106" s="170"/>
      <c r="B106" s="108"/>
      <c r="C106" s="172"/>
      <c r="D106" s="173"/>
      <c r="E106" s="174"/>
      <c r="F106" s="175"/>
      <c r="G106" s="176"/>
      <c r="H106" s="95" t="s">
        <v>405</v>
      </c>
      <c r="I106" s="177" t="s">
        <v>348</v>
      </c>
      <c r="J106" s="96" t="s">
        <v>216</v>
      </c>
      <c r="K106" s="96"/>
      <c r="L106" s="178" t="s">
        <v>348</v>
      </c>
      <c r="M106" s="96" t="s">
        <v>373</v>
      </c>
      <c r="N106" s="97"/>
      <c r="O106" s="178" t="s">
        <v>348</v>
      </c>
      <c r="P106" s="99" t="s">
        <v>374</v>
      </c>
      <c r="Q106" s="98"/>
      <c r="R106" s="178" t="s">
        <v>348</v>
      </c>
      <c r="S106" s="96" t="s">
        <v>375</v>
      </c>
      <c r="T106" s="98"/>
      <c r="U106" s="178" t="s">
        <v>348</v>
      </c>
      <c r="V106" s="96" t="s">
        <v>376</v>
      </c>
      <c r="W106" s="100"/>
      <c r="X106" s="101"/>
      <c r="Y106" s="179"/>
      <c r="Z106" s="179"/>
      <c r="AA106" s="179"/>
      <c r="AB106" s="180"/>
      <c r="AC106" s="409"/>
      <c r="AD106" s="410"/>
      <c r="AE106" s="410"/>
      <c r="AF106" s="411"/>
      <c r="AG106" s="119"/>
      <c r="AH106" s="119"/>
      <c r="AI106" s="119" t="str">
        <f>"25:shoguukaizen_code:"&amp;IF(I106="■",1,IF(L106="■",7,IF(O106="■",8,IF(R106="■",9,IF(U106="■","A",0)))))</f>
        <v>25:shoguukaizen_code:0</v>
      </c>
    </row>
    <row r="107" spans="1:36" ht="18.75" customHeight="1" x14ac:dyDescent="0.15">
      <c r="A107" s="130"/>
      <c r="B107" s="131"/>
      <c r="C107" s="132"/>
      <c r="D107" s="133"/>
      <c r="E107" s="126"/>
      <c r="F107" s="134"/>
      <c r="G107" s="126"/>
      <c r="H107" s="214" t="s">
        <v>96</v>
      </c>
      <c r="I107" s="140" t="s">
        <v>348</v>
      </c>
      <c r="J107" s="184" t="s">
        <v>265</v>
      </c>
      <c r="K107" s="185"/>
      <c r="L107" s="186"/>
      <c r="M107" s="187" t="s">
        <v>348</v>
      </c>
      <c r="N107" s="184" t="s">
        <v>266</v>
      </c>
      <c r="O107" s="222"/>
      <c r="P107" s="185"/>
      <c r="Q107" s="185"/>
      <c r="R107" s="185"/>
      <c r="S107" s="185"/>
      <c r="T107" s="185"/>
      <c r="U107" s="185"/>
      <c r="V107" s="185"/>
      <c r="W107" s="185"/>
      <c r="X107" s="250"/>
      <c r="Y107" s="136" t="s">
        <v>348</v>
      </c>
      <c r="Z107" s="124" t="s">
        <v>215</v>
      </c>
      <c r="AA107" s="124"/>
      <c r="AB107" s="139"/>
      <c r="AC107" s="403"/>
      <c r="AD107" s="404"/>
      <c r="AE107" s="404"/>
      <c r="AF107" s="405"/>
      <c r="AG107" s="119" t="str">
        <f>"ser_code = '" &amp; IF(A116="■",25,"") &amp; "'"</f>
        <v>ser_code = ''</v>
      </c>
      <c r="AH107" s="119" t="str">
        <f>"25:jininkbn_code:" &amp; IF(F116="■",1,IF(F117="■",2,0))</f>
        <v>25:jininkbn_code:0</v>
      </c>
      <c r="AI107" s="119" t="str">
        <f>"25:yakan_kinmu_code:" &amp; IF(I107="■",1,IF(M107="■",6,0))</f>
        <v>25:yakan_kinmu_code:0</v>
      </c>
      <c r="AJ107" s="119" t="str">
        <f>"25:field203:" &amp; IF(Y107="■",1,IF(Y108="■",2,0))</f>
        <v>25:field203:0</v>
      </c>
    </row>
    <row r="108" spans="1:36" ht="18.75" customHeight="1" x14ac:dyDescent="0.15">
      <c r="A108" s="107"/>
      <c r="B108" s="108"/>
      <c r="C108" s="109"/>
      <c r="D108" s="110"/>
      <c r="E108" s="111"/>
      <c r="F108" s="112"/>
      <c r="G108" s="111"/>
      <c r="H108" s="370" t="s">
        <v>92</v>
      </c>
      <c r="I108" s="194" t="s">
        <v>348</v>
      </c>
      <c r="J108" s="104" t="s">
        <v>216</v>
      </c>
      <c r="K108" s="104"/>
      <c r="L108" s="212"/>
      <c r="M108" s="123" t="s">
        <v>348</v>
      </c>
      <c r="N108" s="104" t="s">
        <v>254</v>
      </c>
      <c r="O108" s="104"/>
      <c r="P108" s="212"/>
      <c r="Q108" s="123" t="s">
        <v>348</v>
      </c>
      <c r="R108" s="103" t="s">
        <v>255</v>
      </c>
      <c r="U108" s="123" t="s">
        <v>348</v>
      </c>
      <c r="V108" s="103" t="s">
        <v>256</v>
      </c>
      <c r="X108" s="165"/>
      <c r="Y108" s="123" t="s">
        <v>348</v>
      </c>
      <c r="Z108" s="104" t="s">
        <v>221</v>
      </c>
      <c r="AA108" s="105"/>
      <c r="AB108" s="106"/>
      <c r="AC108" s="406"/>
      <c r="AD108" s="407"/>
      <c r="AE108" s="407"/>
      <c r="AF108" s="408"/>
      <c r="AG108" s="119" t="str">
        <f>"25:sisetukbn_code:"&amp;IF(D116="■",2,0)</f>
        <v>25:sisetukbn_code:0</v>
      </c>
      <c r="AH108" s="119"/>
      <c r="AI108" s="119" t="str">
        <f>"25:"&amp;IF(AND(I108="□",M108="□",Q108="□",U108="□",I109="□",M109="□",Q109="□"),"ketu_doctor_code:0",IF(I108="■","ketu_doctor_code:1:ketu_kangos_code:1:ketu_kshoku_code:1:ketu_rryoho_code:1:ketu_sryoho_code:1:ketu_gengo_code:1",
IF(M108="■","ketu_doctor_code:2","ketu_doctor_code:1")
&amp;IF(Q108="■",":ketu_kangos_code:2",":ketu_kangos_code:1")
&amp;IF(U108="■",":ketu_kshoku_code:2",":ketu_kshoku_code:1")
&amp;IF(I109="■",":ketu_rryoho_code:2",":ketu_rryoho_code:1")
&amp;IF(M109="■",":ketu_sryoho_code:2",":ketu_sryoho_code:1")
&amp;IF(Q109="■",":ketu_gengo_code:2",":ketu_gengo_code:1")))</f>
        <v>25:ketu_doctor_code:0</v>
      </c>
      <c r="AJ108" s="119"/>
    </row>
    <row r="109" spans="1:36" ht="18.75" customHeight="1" x14ac:dyDescent="0.15">
      <c r="A109" s="107"/>
      <c r="B109" s="108"/>
      <c r="C109" s="109"/>
      <c r="D109" s="110"/>
      <c r="E109" s="111"/>
      <c r="F109" s="112"/>
      <c r="G109" s="111"/>
      <c r="H109" s="371"/>
      <c r="I109" s="128" t="s">
        <v>348</v>
      </c>
      <c r="J109" s="115" t="s">
        <v>257</v>
      </c>
      <c r="K109" s="144"/>
      <c r="L109" s="144"/>
      <c r="M109" s="191" t="s">
        <v>348</v>
      </c>
      <c r="N109" s="115" t="s">
        <v>258</v>
      </c>
      <c r="O109" s="144"/>
      <c r="P109" s="144"/>
      <c r="Q109" s="191" t="s">
        <v>348</v>
      </c>
      <c r="R109" s="115" t="s">
        <v>259</v>
      </c>
      <c r="S109" s="144"/>
      <c r="T109" s="144"/>
      <c r="U109" s="144"/>
      <c r="V109" s="144"/>
      <c r="W109" s="144"/>
      <c r="X109" s="226"/>
      <c r="Y109" s="147"/>
      <c r="Z109" s="105"/>
      <c r="AA109" s="105"/>
      <c r="AB109" s="106"/>
      <c r="AC109" s="406"/>
      <c r="AD109" s="407"/>
      <c r="AE109" s="407"/>
      <c r="AF109" s="408"/>
      <c r="AG109" s="119"/>
      <c r="AH109" s="119"/>
      <c r="AI109" s="119"/>
      <c r="AJ109" s="119"/>
    </row>
    <row r="110" spans="1:36" ht="18.75" customHeight="1" x14ac:dyDescent="0.15">
      <c r="A110" s="107"/>
      <c r="B110" s="108"/>
      <c r="C110" s="109"/>
      <c r="D110" s="110"/>
      <c r="E110" s="111"/>
      <c r="F110" s="112"/>
      <c r="G110" s="111"/>
      <c r="H110" s="230" t="s">
        <v>97</v>
      </c>
      <c r="I110" s="194" t="s">
        <v>348</v>
      </c>
      <c r="J110" s="149" t="s">
        <v>230</v>
      </c>
      <c r="K110" s="150"/>
      <c r="L110" s="151"/>
      <c r="M110" s="152" t="s">
        <v>348</v>
      </c>
      <c r="N110" s="149" t="s">
        <v>231</v>
      </c>
      <c r="O110" s="154"/>
      <c r="P110" s="150"/>
      <c r="Q110" s="150"/>
      <c r="R110" s="150"/>
      <c r="S110" s="150"/>
      <c r="T110" s="150"/>
      <c r="U110" s="150"/>
      <c r="V110" s="150"/>
      <c r="W110" s="150"/>
      <c r="X110" s="159"/>
      <c r="Y110" s="147"/>
      <c r="Z110" s="105"/>
      <c r="AA110" s="105"/>
      <c r="AB110" s="106"/>
      <c r="AC110" s="406"/>
      <c r="AD110" s="407"/>
      <c r="AE110" s="407"/>
      <c r="AF110" s="408"/>
      <c r="AI110" s="119" t="str">
        <f>"25:unitcare_code:" &amp; IF(I110="■",1,IF(M110="■",2,0))</f>
        <v>25:unitcare_code:0</v>
      </c>
    </row>
    <row r="111" spans="1:36" s="119" customFormat="1" ht="18.75" customHeight="1" x14ac:dyDescent="0.15">
      <c r="A111" s="107"/>
      <c r="B111" s="108"/>
      <c r="C111" s="238"/>
      <c r="D111" s="239"/>
      <c r="E111" s="111"/>
      <c r="F111" s="112"/>
      <c r="G111" s="113"/>
      <c r="H111" s="230" t="s">
        <v>103</v>
      </c>
      <c r="I111" s="148" t="s">
        <v>348</v>
      </c>
      <c r="J111" s="149" t="s">
        <v>360</v>
      </c>
      <c r="K111" s="150"/>
      <c r="L111" s="151"/>
      <c r="M111" s="152" t="s">
        <v>348</v>
      </c>
      <c r="N111" s="149" t="s">
        <v>361</v>
      </c>
      <c r="O111" s="150"/>
      <c r="P111" s="150"/>
      <c r="Q111" s="150"/>
      <c r="R111" s="150"/>
      <c r="S111" s="150"/>
      <c r="T111" s="150"/>
      <c r="U111" s="150"/>
      <c r="V111" s="150"/>
      <c r="W111" s="150"/>
      <c r="X111" s="159"/>
      <c r="Y111" s="147"/>
      <c r="Z111" s="105"/>
      <c r="AA111" s="105"/>
      <c r="AB111" s="106"/>
      <c r="AC111" s="406"/>
      <c r="AD111" s="407"/>
      <c r="AE111" s="407"/>
      <c r="AF111" s="408"/>
      <c r="AI111" s="119" t="str">
        <f>"25:sintaikousoku_code:" &amp; IF(I111="■",1,IF(M111="■",2,0))</f>
        <v>25:sintaikousoku_code:0</v>
      </c>
    </row>
    <row r="112" spans="1:36" ht="19.5" customHeight="1" x14ac:dyDescent="0.15">
      <c r="A112" s="107"/>
      <c r="B112" s="108"/>
      <c r="C112" s="109"/>
      <c r="D112" s="110"/>
      <c r="E112" s="111"/>
      <c r="F112" s="112"/>
      <c r="G112" s="113"/>
      <c r="H112" s="114" t="s">
        <v>369</v>
      </c>
      <c r="I112" s="194" t="s">
        <v>348</v>
      </c>
      <c r="J112" s="149" t="s">
        <v>360</v>
      </c>
      <c r="K112" s="150"/>
      <c r="L112" s="151"/>
      <c r="M112" s="152" t="s">
        <v>348</v>
      </c>
      <c r="N112" s="149" t="s">
        <v>370</v>
      </c>
      <c r="O112" s="149"/>
      <c r="P112" s="149"/>
      <c r="Q112" s="154"/>
      <c r="R112" s="154"/>
      <c r="S112" s="154"/>
      <c r="T112" s="154"/>
      <c r="U112" s="154"/>
      <c r="V112" s="154"/>
      <c r="W112" s="154"/>
      <c r="X112" s="155"/>
      <c r="Y112" s="105"/>
      <c r="Z112" s="105"/>
      <c r="AA112" s="105"/>
      <c r="AB112" s="106"/>
      <c r="AC112" s="406"/>
      <c r="AD112" s="407"/>
      <c r="AE112" s="407"/>
      <c r="AF112" s="408"/>
      <c r="AI112" s="119" t="str">
        <f>"25:field223:" &amp; IF(I112="■",1,IF(M112="■",2,0))</f>
        <v>25:field223:0</v>
      </c>
    </row>
    <row r="113" spans="1:36" ht="19.5" customHeight="1" x14ac:dyDescent="0.15">
      <c r="A113" s="107"/>
      <c r="B113" s="108"/>
      <c r="C113" s="109"/>
      <c r="D113" s="110"/>
      <c r="E113" s="111"/>
      <c r="F113" s="112"/>
      <c r="G113" s="113"/>
      <c r="H113" s="114" t="s">
        <v>390</v>
      </c>
      <c r="I113" s="194" t="s">
        <v>348</v>
      </c>
      <c r="J113" s="115" t="s">
        <v>360</v>
      </c>
      <c r="K113" s="166"/>
      <c r="L113" s="116"/>
      <c r="M113" s="191" t="s">
        <v>348</v>
      </c>
      <c r="N113" s="115" t="s">
        <v>370</v>
      </c>
      <c r="O113" s="115"/>
      <c r="P113" s="115"/>
      <c r="Q113" s="145"/>
      <c r="R113" s="145"/>
      <c r="S113" s="145"/>
      <c r="T113" s="145"/>
      <c r="U113" s="145"/>
      <c r="V113" s="145"/>
      <c r="W113" s="145"/>
      <c r="X113" s="146"/>
      <c r="Y113" s="105"/>
      <c r="Z113" s="104"/>
      <c r="AA113" s="105"/>
      <c r="AB113" s="106"/>
      <c r="AC113" s="406"/>
      <c r="AD113" s="407"/>
      <c r="AE113" s="407"/>
      <c r="AF113" s="408"/>
      <c r="AI113" s="119" t="str">
        <f>"25:field232:" &amp; IF(I113="■",1,IF(M113="■",2,0))</f>
        <v>25:field232:0</v>
      </c>
    </row>
    <row r="114" spans="1:36" ht="18.75" customHeight="1" x14ac:dyDescent="0.15">
      <c r="A114" s="107"/>
      <c r="B114" s="108"/>
      <c r="C114" s="109"/>
      <c r="D114" s="110"/>
      <c r="E114" s="111"/>
      <c r="F114" s="112"/>
      <c r="G114" s="111"/>
      <c r="H114" s="230" t="s">
        <v>105</v>
      </c>
      <c r="I114" s="194" t="s">
        <v>348</v>
      </c>
      <c r="J114" s="149" t="s">
        <v>216</v>
      </c>
      <c r="K114" s="150"/>
      <c r="L114" s="152" t="s">
        <v>348</v>
      </c>
      <c r="M114" s="149" t="s">
        <v>232</v>
      </c>
      <c r="N114" s="196"/>
      <c r="O114" s="150"/>
      <c r="P114" s="150"/>
      <c r="Q114" s="150"/>
      <c r="R114" s="150"/>
      <c r="S114" s="150"/>
      <c r="T114" s="150"/>
      <c r="U114" s="150"/>
      <c r="V114" s="150"/>
      <c r="W114" s="150"/>
      <c r="X114" s="159"/>
      <c r="Y114" s="147"/>
      <c r="Z114" s="105"/>
      <c r="AA114" s="105"/>
      <c r="AB114" s="106"/>
      <c r="AC114" s="406"/>
      <c r="AD114" s="407"/>
      <c r="AE114" s="407"/>
      <c r="AF114" s="408"/>
      <c r="AI114" s="119" t="str">
        <f>"25:yakinhaiti_code:" &amp; IF(I114="■",1,IF(L114="■",2,0))</f>
        <v>25:yakinhaiti_code:0</v>
      </c>
    </row>
    <row r="115" spans="1:36" ht="18.75" customHeight="1" x14ac:dyDescent="0.15">
      <c r="A115" s="107"/>
      <c r="B115" s="108"/>
      <c r="C115" s="109"/>
      <c r="D115" s="110"/>
      <c r="E115" s="111"/>
      <c r="F115" s="112"/>
      <c r="G115" s="111"/>
      <c r="H115" s="230" t="s">
        <v>424</v>
      </c>
      <c r="I115" s="194" t="s">
        <v>348</v>
      </c>
      <c r="J115" s="149" t="s">
        <v>216</v>
      </c>
      <c r="K115" s="150"/>
      <c r="L115" s="152" t="s">
        <v>348</v>
      </c>
      <c r="M115" s="149" t="s">
        <v>232</v>
      </c>
      <c r="N115" s="196"/>
      <c r="O115" s="150"/>
      <c r="P115" s="150"/>
      <c r="Q115" s="150"/>
      <c r="R115" s="150"/>
      <c r="S115" s="150"/>
      <c r="T115" s="150"/>
      <c r="U115" s="150"/>
      <c r="V115" s="150"/>
      <c r="W115" s="150"/>
      <c r="X115" s="159"/>
      <c r="Y115" s="147"/>
      <c r="Z115" s="105"/>
      <c r="AA115" s="105"/>
      <c r="AB115" s="106"/>
      <c r="AC115" s="406"/>
      <c r="AD115" s="407"/>
      <c r="AE115" s="407"/>
      <c r="AF115" s="408"/>
      <c r="AI115" s="119" t="str">
        <f>"25:jyakuninti_uke_code:" &amp; IF(I115="■",1,IF(L115="■",2,0))</f>
        <v>25:jyakuninti_uke_code:0</v>
      </c>
    </row>
    <row r="116" spans="1:36" ht="18.75" customHeight="1" x14ac:dyDescent="0.15">
      <c r="A116" s="128" t="s">
        <v>348</v>
      </c>
      <c r="B116" s="108">
        <v>25</v>
      </c>
      <c r="C116" s="109" t="s">
        <v>427</v>
      </c>
      <c r="D116" s="128" t="s">
        <v>348</v>
      </c>
      <c r="E116" s="111" t="s">
        <v>281</v>
      </c>
      <c r="F116" s="128" t="s">
        <v>348</v>
      </c>
      <c r="G116" s="111" t="s">
        <v>278</v>
      </c>
      <c r="H116" s="230" t="s">
        <v>189</v>
      </c>
      <c r="I116" s="194" t="s">
        <v>348</v>
      </c>
      <c r="J116" s="149" t="s">
        <v>216</v>
      </c>
      <c r="K116" s="149"/>
      <c r="L116" s="191" t="s">
        <v>348</v>
      </c>
      <c r="M116" s="149" t="s">
        <v>217</v>
      </c>
      <c r="N116" s="149"/>
      <c r="O116" s="152" t="s">
        <v>348</v>
      </c>
      <c r="P116" s="149" t="s">
        <v>218</v>
      </c>
      <c r="Q116" s="154"/>
      <c r="R116" s="149"/>
      <c r="S116" s="149"/>
      <c r="T116" s="149"/>
      <c r="U116" s="149"/>
      <c r="V116" s="149"/>
      <c r="W116" s="149"/>
      <c r="X116" s="158"/>
      <c r="Y116" s="147"/>
      <c r="Z116" s="105"/>
      <c r="AA116" s="105"/>
      <c r="AB116" s="106"/>
      <c r="AC116" s="406"/>
      <c r="AD116" s="407"/>
      <c r="AE116" s="407"/>
      <c r="AF116" s="408"/>
      <c r="AI116" s="119" t="str">
        <f>"25:zaitaku_hukki_code:" &amp; IF(I116="■",1,IF(L116="■",2,IF(O116="■",3,0)))</f>
        <v>25:zaitaku_hukki_code:0</v>
      </c>
    </row>
    <row r="117" spans="1:36" ht="18.75" customHeight="1" x14ac:dyDescent="0.15">
      <c r="A117" s="107"/>
      <c r="B117" s="108"/>
      <c r="C117" s="109"/>
      <c r="D117" s="110"/>
      <c r="E117" s="111"/>
      <c r="F117" s="128" t="s">
        <v>348</v>
      </c>
      <c r="G117" s="111" t="s">
        <v>279</v>
      </c>
      <c r="H117" s="230" t="s">
        <v>94</v>
      </c>
      <c r="I117" s="194" t="s">
        <v>348</v>
      </c>
      <c r="J117" s="149" t="s">
        <v>230</v>
      </c>
      <c r="K117" s="150"/>
      <c r="L117" s="151"/>
      <c r="M117" s="152" t="s">
        <v>348</v>
      </c>
      <c r="N117" s="149" t="s">
        <v>231</v>
      </c>
      <c r="O117" s="154"/>
      <c r="P117" s="150"/>
      <c r="Q117" s="150"/>
      <c r="R117" s="150"/>
      <c r="S117" s="150"/>
      <c r="T117" s="150"/>
      <c r="U117" s="150"/>
      <c r="V117" s="150"/>
      <c r="W117" s="150"/>
      <c r="X117" s="159"/>
      <c r="Y117" s="147"/>
      <c r="Z117" s="105"/>
      <c r="AA117" s="105"/>
      <c r="AB117" s="106"/>
      <c r="AC117" s="406"/>
      <c r="AD117" s="407"/>
      <c r="AE117" s="407"/>
      <c r="AF117" s="408"/>
      <c r="AI117" s="119" t="str">
        <f>"25:sougei_code:" &amp; IF(I117="■",1,IF(M117="■",2,0))</f>
        <v>25:sougei_code:0</v>
      </c>
    </row>
    <row r="118" spans="1:36" ht="19.5" customHeight="1" x14ac:dyDescent="0.15">
      <c r="A118" s="107"/>
      <c r="B118" s="108"/>
      <c r="C118" s="109"/>
      <c r="D118" s="110"/>
      <c r="E118" s="111"/>
      <c r="F118" s="112"/>
      <c r="G118" s="111"/>
      <c r="H118" s="114" t="s">
        <v>372</v>
      </c>
      <c r="I118" s="194" t="s">
        <v>348</v>
      </c>
      <c r="J118" s="149" t="s">
        <v>216</v>
      </c>
      <c r="K118" s="149"/>
      <c r="L118" s="152" t="s">
        <v>348</v>
      </c>
      <c r="M118" s="149" t="s">
        <v>232</v>
      </c>
      <c r="N118" s="149"/>
      <c r="O118" s="154"/>
      <c r="P118" s="149"/>
      <c r="Q118" s="154"/>
      <c r="R118" s="154"/>
      <c r="S118" s="154"/>
      <c r="T118" s="154"/>
      <c r="U118" s="154"/>
      <c r="V118" s="154"/>
      <c r="W118" s="154"/>
      <c r="X118" s="155"/>
      <c r="Y118" s="105"/>
      <c r="Z118" s="105"/>
      <c r="AA118" s="105"/>
      <c r="AB118" s="106"/>
      <c r="AC118" s="406"/>
      <c r="AD118" s="407"/>
      <c r="AE118" s="407"/>
      <c r="AF118" s="408"/>
      <c r="AI118" s="119" t="str">
        <f>"25:field224:" &amp; IF(I118="■",1,IF(L118="■",2,0))</f>
        <v>25:field224:0</v>
      </c>
    </row>
    <row r="119" spans="1:36" ht="18.75" customHeight="1" x14ac:dyDescent="0.15">
      <c r="A119" s="107"/>
      <c r="B119" s="108"/>
      <c r="C119" s="109"/>
      <c r="D119" s="110"/>
      <c r="E119" s="111"/>
      <c r="F119" s="112"/>
      <c r="G119" s="111"/>
      <c r="H119" s="230" t="s">
        <v>106</v>
      </c>
      <c r="I119" s="194" t="s">
        <v>348</v>
      </c>
      <c r="J119" s="149" t="s">
        <v>216</v>
      </c>
      <c r="K119" s="150"/>
      <c r="L119" s="152" t="s">
        <v>348</v>
      </c>
      <c r="M119" s="149" t="s">
        <v>232</v>
      </c>
      <c r="N119" s="196"/>
      <c r="O119" s="150"/>
      <c r="P119" s="150"/>
      <c r="Q119" s="150"/>
      <c r="R119" s="150"/>
      <c r="S119" s="150"/>
      <c r="T119" s="150"/>
      <c r="U119" s="150"/>
      <c r="V119" s="150"/>
      <c r="W119" s="150"/>
      <c r="X119" s="159"/>
      <c r="Y119" s="147"/>
      <c r="Z119" s="105"/>
      <c r="AA119" s="105"/>
      <c r="AB119" s="106"/>
      <c r="AC119" s="406"/>
      <c r="AD119" s="407"/>
      <c r="AE119" s="407"/>
      <c r="AF119" s="408"/>
      <c r="AI119" s="119" t="str">
        <f>"25:ryouyoushoku_code:" &amp; IF(I119="■",1,IF(L119="■",2,0))</f>
        <v>25:ryouyoushoku_code:0</v>
      </c>
    </row>
    <row r="120" spans="1:36" ht="18.75" customHeight="1" x14ac:dyDescent="0.15">
      <c r="A120" s="107"/>
      <c r="B120" s="108"/>
      <c r="C120" s="109"/>
      <c r="D120" s="110"/>
      <c r="E120" s="111"/>
      <c r="F120" s="112"/>
      <c r="G120" s="111"/>
      <c r="H120" s="230" t="s">
        <v>165</v>
      </c>
      <c r="I120" s="194" t="s">
        <v>348</v>
      </c>
      <c r="J120" s="149" t="s">
        <v>216</v>
      </c>
      <c r="K120" s="149"/>
      <c r="L120" s="152" t="s">
        <v>348</v>
      </c>
      <c r="M120" s="149" t="s">
        <v>217</v>
      </c>
      <c r="N120" s="149"/>
      <c r="O120" s="152" t="s">
        <v>348</v>
      </c>
      <c r="P120" s="149" t="s">
        <v>218</v>
      </c>
      <c r="Q120" s="154"/>
      <c r="R120" s="150"/>
      <c r="S120" s="150"/>
      <c r="T120" s="150"/>
      <c r="U120" s="150"/>
      <c r="V120" s="150"/>
      <c r="W120" s="150"/>
      <c r="X120" s="159"/>
      <c r="Y120" s="147"/>
      <c r="Z120" s="105"/>
      <c r="AA120" s="105"/>
      <c r="AB120" s="106"/>
      <c r="AC120" s="406"/>
      <c r="AD120" s="407"/>
      <c r="AE120" s="407"/>
      <c r="AF120" s="408"/>
      <c r="AI120" s="119" t="str">
        <f>"25:ninti_senmoncare_code:" &amp; IF(I120="■",1,IF(O120="■",3,IF(L120="■",2,0)))</f>
        <v>25:ninti_senmoncare_code:0</v>
      </c>
    </row>
    <row r="121" spans="1:36" ht="18.75" customHeight="1" x14ac:dyDescent="0.15">
      <c r="A121" s="107"/>
      <c r="B121" s="108"/>
      <c r="C121" s="109"/>
      <c r="D121" s="110"/>
      <c r="E121" s="111"/>
      <c r="F121" s="112"/>
      <c r="G121" s="111"/>
      <c r="H121" s="240" t="s">
        <v>385</v>
      </c>
      <c r="I121" s="194" t="s">
        <v>348</v>
      </c>
      <c r="J121" s="149" t="s">
        <v>216</v>
      </c>
      <c r="K121" s="149"/>
      <c r="L121" s="152" t="s">
        <v>348</v>
      </c>
      <c r="M121" s="149" t="s">
        <v>217</v>
      </c>
      <c r="N121" s="149"/>
      <c r="O121" s="152" t="s">
        <v>348</v>
      </c>
      <c r="P121" s="149" t="s">
        <v>218</v>
      </c>
      <c r="Q121" s="154"/>
      <c r="R121" s="154"/>
      <c r="S121" s="154"/>
      <c r="T121" s="154"/>
      <c r="U121" s="241"/>
      <c r="V121" s="241"/>
      <c r="W121" s="241"/>
      <c r="X121" s="242"/>
      <c r="Y121" s="147"/>
      <c r="Z121" s="105"/>
      <c r="AA121" s="105"/>
      <c r="AB121" s="106"/>
      <c r="AC121" s="406"/>
      <c r="AD121" s="407"/>
      <c r="AE121" s="407"/>
      <c r="AF121" s="408"/>
      <c r="AI121" s="119" t="str">
        <f>"25:field225:" &amp; IF(I121="■",1,IF(L121="■",2,IF(O121="■",3,0)))</f>
        <v>25:field225:0</v>
      </c>
    </row>
    <row r="122" spans="1:36" ht="18.75" customHeight="1" x14ac:dyDescent="0.15">
      <c r="A122" s="107"/>
      <c r="B122" s="108"/>
      <c r="C122" s="109"/>
      <c r="D122" s="110"/>
      <c r="E122" s="111"/>
      <c r="F122" s="112"/>
      <c r="G122" s="111"/>
      <c r="H122" s="227" t="s">
        <v>111</v>
      </c>
      <c r="I122" s="194" t="s">
        <v>348</v>
      </c>
      <c r="J122" s="149" t="s">
        <v>216</v>
      </c>
      <c r="K122" s="149"/>
      <c r="L122" s="152" t="s">
        <v>348</v>
      </c>
      <c r="M122" s="149" t="s">
        <v>224</v>
      </c>
      <c r="N122" s="149"/>
      <c r="O122" s="152" t="s">
        <v>348</v>
      </c>
      <c r="P122" s="149" t="s">
        <v>225</v>
      </c>
      <c r="Q122" s="196"/>
      <c r="R122" s="152" t="s">
        <v>348</v>
      </c>
      <c r="S122" s="149" t="s">
        <v>248</v>
      </c>
      <c r="T122" s="149"/>
      <c r="U122" s="149"/>
      <c r="V122" s="149"/>
      <c r="W122" s="149"/>
      <c r="X122" s="158"/>
      <c r="Y122" s="147"/>
      <c r="Z122" s="105"/>
      <c r="AA122" s="105"/>
      <c r="AB122" s="106"/>
      <c r="AC122" s="406"/>
      <c r="AD122" s="407"/>
      <c r="AE122" s="407"/>
      <c r="AF122" s="408"/>
      <c r="AI122" s="119" t="str">
        <f>"25:serteikyo_kyoka_code:" &amp; IF(I122="■",1,IF(L122="■",6,IF(O122="■",5,IF(R122="■",7,0))))</f>
        <v>25:serteikyo_kyoka_code:0</v>
      </c>
    </row>
    <row r="123" spans="1:36" ht="18.75" customHeight="1" x14ac:dyDescent="0.15">
      <c r="A123" s="107"/>
      <c r="B123" s="108"/>
      <c r="C123" s="109"/>
      <c r="D123" s="110"/>
      <c r="E123" s="111"/>
      <c r="F123" s="112"/>
      <c r="G123" s="111"/>
      <c r="H123" s="329" t="s">
        <v>409</v>
      </c>
      <c r="I123" s="360" t="s">
        <v>348</v>
      </c>
      <c r="J123" s="359" t="s">
        <v>216</v>
      </c>
      <c r="K123" s="359"/>
      <c r="L123" s="360" t="s">
        <v>348</v>
      </c>
      <c r="M123" s="359" t="s">
        <v>232</v>
      </c>
      <c r="N123" s="359"/>
      <c r="O123" s="160"/>
      <c r="P123" s="160"/>
      <c r="Q123" s="160"/>
      <c r="R123" s="160"/>
      <c r="S123" s="160"/>
      <c r="T123" s="160"/>
      <c r="U123" s="160"/>
      <c r="V123" s="160"/>
      <c r="W123" s="160"/>
      <c r="X123" s="163"/>
      <c r="Y123" s="147"/>
      <c r="Z123" s="105"/>
      <c r="AA123" s="105"/>
      <c r="AB123" s="106"/>
      <c r="AC123" s="406"/>
      <c r="AD123" s="407"/>
      <c r="AE123" s="407"/>
      <c r="AF123" s="408"/>
      <c r="AI123" s="119" t="str">
        <f>"25:field221:" &amp; IF(I123="■",1,IF(L123="■",2,0))</f>
        <v>25:field221:0</v>
      </c>
    </row>
    <row r="124" spans="1:36" ht="18.75" customHeight="1" x14ac:dyDescent="0.15">
      <c r="A124" s="107"/>
      <c r="B124" s="108"/>
      <c r="C124" s="109"/>
      <c r="D124" s="110"/>
      <c r="E124" s="111"/>
      <c r="F124" s="112"/>
      <c r="G124" s="111"/>
      <c r="H124" s="328"/>
      <c r="I124" s="360"/>
      <c r="J124" s="359"/>
      <c r="K124" s="359"/>
      <c r="L124" s="360"/>
      <c r="M124" s="359"/>
      <c r="N124" s="359"/>
      <c r="O124" s="115"/>
      <c r="P124" s="115"/>
      <c r="Q124" s="115"/>
      <c r="R124" s="115"/>
      <c r="S124" s="115"/>
      <c r="T124" s="115"/>
      <c r="U124" s="115"/>
      <c r="V124" s="115"/>
      <c r="W124" s="115"/>
      <c r="X124" s="161"/>
      <c r="Y124" s="147"/>
      <c r="Z124" s="105"/>
      <c r="AA124" s="105"/>
      <c r="AB124" s="106"/>
      <c r="AC124" s="406"/>
      <c r="AD124" s="407"/>
      <c r="AE124" s="407"/>
      <c r="AF124" s="408"/>
    </row>
    <row r="125" spans="1:36" ht="18.75" customHeight="1" x14ac:dyDescent="0.15">
      <c r="A125" s="170"/>
      <c r="B125" s="171"/>
      <c r="C125" s="172"/>
      <c r="D125" s="173"/>
      <c r="E125" s="174"/>
      <c r="F125" s="175"/>
      <c r="G125" s="176"/>
      <c r="H125" s="95" t="s">
        <v>405</v>
      </c>
      <c r="I125" s="177" t="s">
        <v>348</v>
      </c>
      <c r="J125" s="96" t="s">
        <v>216</v>
      </c>
      <c r="K125" s="96"/>
      <c r="L125" s="178" t="s">
        <v>348</v>
      </c>
      <c r="M125" s="96" t="s">
        <v>373</v>
      </c>
      <c r="N125" s="97"/>
      <c r="O125" s="178" t="s">
        <v>348</v>
      </c>
      <c r="P125" s="99" t="s">
        <v>374</v>
      </c>
      <c r="Q125" s="98"/>
      <c r="R125" s="178" t="s">
        <v>348</v>
      </c>
      <c r="S125" s="96" t="s">
        <v>375</v>
      </c>
      <c r="T125" s="98"/>
      <c r="U125" s="178" t="s">
        <v>348</v>
      </c>
      <c r="V125" s="96" t="s">
        <v>376</v>
      </c>
      <c r="W125" s="100"/>
      <c r="X125" s="101"/>
      <c r="Y125" s="179"/>
      <c r="Z125" s="179"/>
      <c r="AA125" s="179"/>
      <c r="AB125" s="180"/>
      <c r="AC125" s="409"/>
      <c r="AD125" s="410"/>
      <c r="AE125" s="410"/>
      <c r="AF125" s="411"/>
      <c r="AG125" s="119"/>
      <c r="AH125" s="119"/>
      <c r="AI125" s="119" t="str">
        <f>"25:shoguukaizen_code:"&amp;IF(I125="■",1,IF(L125="■",7,IF(O125="■",8,IF(R125="■",9,IF(U125="■","A",0)))))</f>
        <v>25:shoguukaizen_code:0</v>
      </c>
    </row>
    <row r="126" spans="1:36" ht="18.75" customHeight="1" x14ac:dyDescent="0.15">
      <c r="A126" s="130"/>
      <c r="B126" s="131"/>
      <c r="C126" s="132"/>
      <c r="D126" s="133"/>
      <c r="E126" s="126"/>
      <c r="F126" s="134"/>
      <c r="G126" s="126"/>
      <c r="H126" s="214" t="s">
        <v>96</v>
      </c>
      <c r="I126" s="194" t="s">
        <v>348</v>
      </c>
      <c r="J126" s="184" t="s">
        <v>265</v>
      </c>
      <c r="K126" s="185"/>
      <c r="L126" s="186"/>
      <c r="M126" s="187" t="s">
        <v>348</v>
      </c>
      <c r="N126" s="184" t="s">
        <v>266</v>
      </c>
      <c r="O126" s="222"/>
      <c r="P126" s="185"/>
      <c r="Q126" s="185"/>
      <c r="R126" s="185"/>
      <c r="S126" s="185"/>
      <c r="T126" s="185"/>
      <c r="U126" s="185"/>
      <c r="V126" s="185"/>
      <c r="W126" s="185"/>
      <c r="X126" s="250"/>
      <c r="Y126" s="136" t="s">
        <v>348</v>
      </c>
      <c r="Z126" s="124" t="s">
        <v>215</v>
      </c>
      <c r="AA126" s="124"/>
      <c r="AB126" s="139"/>
      <c r="AC126" s="403"/>
      <c r="AD126" s="404"/>
      <c r="AE126" s="404"/>
      <c r="AF126" s="405"/>
      <c r="AG126" s="119" t="str">
        <f>"ser_code = '" &amp; IF(A136="■",25,"") &amp; "'"</f>
        <v>ser_code = ''</v>
      </c>
      <c r="AH126" s="119"/>
      <c r="AI126" s="119" t="str">
        <f>"25:yakan_kinmu_code:" &amp; IF(I126="■",1,IF(M126="■",6,0))</f>
        <v>25:yakan_kinmu_code:0</v>
      </c>
      <c r="AJ126" s="119" t="str">
        <f>"25:field203:" &amp; IF(Y126="■",1,IF(Y127="■",2,0))</f>
        <v>25:field203:0</v>
      </c>
    </row>
    <row r="127" spans="1:36" ht="18.75" customHeight="1" x14ac:dyDescent="0.15">
      <c r="A127" s="107"/>
      <c r="B127" s="108"/>
      <c r="C127" s="109"/>
      <c r="D127" s="110"/>
      <c r="E127" s="111"/>
      <c r="F127" s="112"/>
      <c r="G127" s="111"/>
      <c r="H127" s="370" t="s">
        <v>92</v>
      </c>
      <c r="I127" s="194" t="s">
        <v>348</v>
      </c>
      <c r="J127" s="104" t="s">
        <v>216</v>
      </c>
      <c r="K127" s="104"/>
      <c r="L127" s="212"/>
      <c r="M127" s="123" t="s">
        <v>348</v>
      </c>
      <c r="N127" s="104" t="s">
        <v>254</v>
      </c>
      <c r="O127" s="104"/>
      <c r="P127" s="212"/>
      <c r="Q127" s="123" t="s">
        <v>348</v>
      </c>
      <c r="R127" s="103" t="s">
        <v>255</v>
      </c>
      <c r="U127" s="123" t="s">
        <v>348</v>
      </c>
      <c r="V127" s="103" t="s">
        <v>256</v>
      </c>
      <c r="X127" s="165"/>
      <c r="Y127" s="123" t="s">
        <v>348</v>
      </c>
      <c r="Z127" s="104" t="s">
        <v>221</v>
      </c>
      <c r="AA127" s="105"/>
      <c r="AB127" s="106"/>
      <c r="AC127" s="406"/>
      <c r="AD127" s="407"/>
      <c r="AE127" s="407"/>
      <c r="AF127" s="408"/>
      <c r="AG127" s="119" t="str">
        <f>"25:sisetukbn_code:" &amp; IF(D136="■",5,IF(D137="■",7,0))</f>
        <v>25:sisetukbn_code:0</v>
      </c>
      <c r="AH127" s="119"/>
      <c r="AI127" s="119" t="str">
        <f>"25:"&amp;IF(AND(I127="□",M127="□",Q127="□",U127="□",I128="□",M128="□",Q128="□"),"ketu_doctor_code:0",IF(I127="■","ketu_doctor_code:1:ketu_kangos_code:1:ketu_kshoku_code:1:ketu_rryoho_code:1:ketu_sryoho_code:1:ketu_gengo_code:1",
IF(M127="■","ketu_doctor_code:2","ketu_doctor_code:1")
&amp;IF(Q127="■",":ketu_kangos_code:2",":ketu_kangos_code:1")
&amp;IF(U127="■",":ketu_kshoku_code:2",":ketu_kshoku_code:1")
&amp;IF(I128="■",":ketu_rryoho_code:2",":ketu_rryoho_code:1")
&amp;IF(M128="■",":ketu_sryoho_code:2",":ketu_sryoho_code:1")
&amp;IF(Q128="■",":ketu_gengo_code:2",":ketu_gengo_code:1")))</f>
        <v>25:ketu_doctor_code:0</v>
      </c>
      <c r="AJ127" s="119"/>
    </row>
    <row r="128" spans="1:36" ht="18.75" customHeight="1" x14ac:dyDescent="0.15">
      <c r="A128" s="107"/>
      <c r="B128" s="108"/>
      <c r="C128" s="109"/>
      <c r="D128" s="110"/>
      <c r="E128" s="111"/>
      <c r="F128" s="112"/>
      <c r="G128" s="111"/>
      <c r="H128" s="371"/>
      <c r="I128" s="128" t="s">
        <v>348</v>
      </c>
      <c r="J128" s="115" t="s">
        <v>257</v>
      </c>
      <c r="K128" s="144"/>
      <c r="L128" s="144"/>
      <c r="M128" s="191" t="s">
        <v>348</v>
      </c>
      <c r="N128" s="115" t="s">
        <v>258</v>
      </c>
      <c r="O128" s="144"/>
      <c r="P128" s="144"/>
      <c r="Q128" s="191" t="s">
        <v>348</v>
      </c>
      <c r="R128" s="115" t="s">
        <v>259</v>
      </c>
      <c r="S128" s="144"/>
      <c r="T128" s="144"/>
      <c r="U128" s="144"/>
      <c r="V128" s="144"/>
      <c r="W128" s="144"/>
      <c r="X128" s="226"/>
      <c r="Y128" s="147"/>
      <c r="Z128" s="105"/>
      <c r="AA128" s="105"/>
      <c r="AB128" s="106"/>
      <c r="AC128" s="406"/>
      <c r="AD128" s="407"/>
      <c r="AE128" s="407"/>
      <c r="AF128" s="408"/>
      <c r="AG128" s="119"/>
      <c r="AH128" s="119"/>
      <c r="AI128" s="119"/>
      <c r="AJ128" s="119"/>
    </row>
    <row r="129" spans="1:36" ht="18.75" customHeight="1" x14ac:dyDescent="0.15">
      <c r="A129" s="107"/>
      <c r="B129" s="108"/>
      <c r="C129" s="109"/>
      <c r="D129" s="110"/>
      <c r="E129" s="111"/>
      <c r="F129" s="112"/>
      <c r="G129" s="111"/>
      <c r="H129" s="230" t="s">
        <v>97</v>
      </c>
      <c r="I129" s="194" t="s">
        <v>348</v>
      </c>
      <c r="J129" s="149" t="s">
        <v>230</v>
      </c>
      <c r="K129" s="150"/>
      <c r="L129" s="151"/>
      <c r="M129" s="152" t="s">
        <v>348</v>
      </c>
      <c r="N129" s="149" t="s">
        <v>231</v>
      </c>
      <c r="O129" s="154"/>
      <c r="P129" s="150"/>
      <c r="Q129" s="150"/>
      <c r="R129" s="150"/>
      <c r="S129" s="150"/>
      <c r="T129" s="150"/>
      <c r="U129" s="150"/>
      <c r="V129" s="150"/>
      <c r="W129" s="150"/>
      <c r="X129" s="159"/>
      <c r="Y129" s="147"/>
      <c r="Z129" s="105"/>
      <c r="AA129" s="105"/>
      <c r="AB129" s="106"/>
      <c r="AC129" s="406"/>
      <c r="AD129" s="407"/>
      <c r="AE129" s="407"/>
      <c r="AF129" s="408"/>
      <c r="AG129" s="119"/>
      <c r="AH129" s="119"/>
      <c r="AI129" s="119" t="str">
        <f>"25:unitcare_code:" &amp; IF(I129="■",1,IF(M129="■",2,0))</f>
        <v>25:unitcare_code:0</v>
      </c>
      <c r="AJ129" s="119"/>
    </row>
    <row r="130" spans="1:36" s="119" customFormat="1" ht="18.75" customHeight="1" x14ac:dyDescent="0.15">
      <c r="A130" s="107"/>
      <c r="B130" s="108"/>
      <c r="C130" s="238"/>
      <c r="D130" s="239"/>
      <c r="E130" s="111"/>
      <c r="F130" s="112"/>
      <c r="G130" s="113"/>
      <c r="H130" s="230" t="s">
        <v>103</v>
      </c>
      <c r="I130" s="148" t="s">
        <v>348</v>
      </c>
      <c r="J130" s="149" t="s">
        <v>360</v>
      </c>
      <c r="K130" s="150"/>
      <c r="L130" s="151"/>
      <c r="M130" s="152" t="s">
        <v>348</v>
      </c>
      <c r="N130" s="149" t="s">
        <v>361</v>
      </c>
      <c r="O130" s="150"/>
      <c r="P130" s="150"/>
      <c r="Q130" s="150"/>
      <c r="R130" s="150"/>
      <c r="S130" s="150"/>
      <c r="T130" s="150"/>
      <c r="U130" s="150"/>
      <c r="V130" s="150"/>
      <c r="W130" s="150"/>
      <c r="X130" s="159"/>
      <c r="Y130" s="147"/>
      <c r="Z130" s="105"/>
      <c r="AA130" s="105"/>
      <c r="AB130" s="106"/>
      <c r="AC130" s="406"/>
      <c r="AD130" s="407"/>
      <c r="AE130" s="407"/>
      <c r="AF130" s="408"/>
      <c r="AI130" s="119" t="str">
        <f>"25:sintaikousoku_code:" &amp; IF(I130="■",1,IF(M130="■",2,0))</f>
        <v>25:sintaikousoku_code:0</v>
      </c>
    </row>
    <row r="131" spans="1:36" ht="19.5" customHeight="1" x14ac:dyDescent="0.15">
      <c r="A131" s="107"/>
      <c r="B131" s="108"/>
      <c r="C131" s="109"/>
      <c r="D131" s="110"/>
      <c r="E131" s="111"/>
      <c r="F131" s="112"/>
      <c r="G131" s="113"/>
      <c r="H131" s="114" t="s">
        <v>369</v>
      </c>
      <c r="I131" s="194" t="s">
        <v>348</v>
      </c>
      <c r="J131" s="149" t="s">
        <v>360</v>
      </c>
      <c r="K131" s="150"/>
      <c r="L131" s="151"/>
      <c r="M131" s="152" t="s">
        <v>348</v>
      </c>
      <c r="N131" s="149" t="s">
        <v>370</v>
      </c>
      <c r="O131" s="149"/>
      <c r="P131" s="149"/>
      <c r="Q131" s="154"/>
      <c r="R131" s="154"/>
      <c r="S131" s="154"/>
      <c r="T131" s="154"/>
      <c r="U131" s="154"/>
      <c r="V131" s="154"/>
      <c r="W131" s="154"/>
      <c r="X131" s="155"/>
      <c r="Y131" s="105"/>
      <c r="Z131" s="105"/>
      <c r="AA131" s="105"/>
      <c r="AB131" s="106"/>
      <c r="AC131" s="406"/>
      <c r="AD131" s="407"/>
      <c r="AE131" s="407"/>
      <c r="AF131" s="408"/>
      <c r="AI131" s="119" t="str">
        <f>"25:field223:" &amp; IF(I131="■",1,IF(M131="■",2,0))</f>
        <v>25:field223:0</v>
      </c>
    </row>
    <row r="132" spans="1:36" ht="19.5" customHeight="1" x14ac:dyDescent="0.15">
      <c r="A132" s="107"/>
      <c r="B132" s="108"/>
      <c r="C132" s="109"/>
      <c r="D132" s="110"/>
      <c r="E132" s="111"/>
      <c r="F132" s="112"/>
      <c r="G132" s="113"/>
      <c r="H132" s="114" t="s">
        <v>390</v>
      </c>
      <c r="I132" s="194" t="s">
        <v>348</v>
      </c>
      <c r="J132" s="115" t="s">
        <v>360</v>
      </c>
      <c r="K132" s="166"/>
      <c r="L132" s="116"/>
      <c r="M132" s="191" t="s">
        <v>348</v>
      </c>
      <c r="N132" s="115" t="s">
        <v>370</v>
      </c>
      <c r="O132" s="115"/>
      <c r="P132" s="115"/>
      <c r="Q132" s="145"/>
      <c r="R132" s="145"/>
      <c r="S132" s="145"/>
      <c r="T132" s="145"/>
      <c r="U132" s="145"/>
      <c r="V132" s="145"/>
      <c r="W132" s="145"/>
      <c r="X132" s="146"/>
      <c r="Y132" s="105"/>
      <c r="Z132" s="104"/>
      <c r="AA132" s="105"/>
      <c r="AB132" s="106"/>
      <c r="AC132" s="406"/>
      <c r="AD132" s="407"/>
      <c r="AE132" s="407"/>
      <c r="AF132" s="408"/>
      <c r="AI132" s="119" t="str">
        <f>"25:field232:" &amp; IF(I132="■",1,IF(M132="■",2,0))</f>
        <v>25:field232:0</v>
      </c>
    </row>
    <row r="133" spans="1:36" ht="19.5" customHeight="1" x14ac:dyDescent="0.15">
      <c r="A133" s="107"/>
      <c r="B133" s="108"/>
      <c r="C133" s="109"/>
      <c r="D133" s="110"/>
      <c r="E133" s="111"/>
      <c r="F133" s="112"/>
      <c r="G133" s="113"/>
      <c r="H133" s="114" t="s">
        <v>455</v>
      </c>
      <c r="I133" s="148" t="s">
        <v>348</v>
      </c>
      <c r="J133" s="115" t="s">
        <v>453</v>
      </c>
      <c r="K133" s="166"/>
      <c r="L133" s="116"/>
      <c r="M133" s="152" t="s">
        <v>348</v>
      </c>
      <c r="N133" s="115" t="s">
        <v>454</v>
      </c>
      <c r="O133" s="236"/>
      <c r="P133" s="115"/>
      <c r="Q133" s="145"/>
      <c r="R133" s="145"/>
      <c r="S133" s="145"/>
      <c r="T133" s="145"/>
      <c r="U133" s="145"/>
      <c r="V133" s="145"/>
      <c r="W133" s="145"/>
      <c r="X133" s="146"/>
      <c r="Y133" s="162"/>
      <c r="Z133" s="104"/>
      <c r="AA133" s="105"/>
      <c r="AB133" s="106"/>
      <c r="AC133" s="406"/>
      <c r="AD133" s="407"/>
      <c r="AE133" s="407"/>
      <c r="AF133" s="408"/>
      <c r="AI133" s="119" t="str">
        <f>"25:field242:" &amp; IF(I133="■",1,IF(M133="■",2,0))</f>
        <v>25:field242:0</v>
      </c>
    </row>
    <row r="134" spans="1:36" ht="18.75" customHeight="1" x14ac:dyDescent="0.15">
      <c r="A134" s="107"/>
      <c r="B134" s="108"/>
      <c r="C134" s="109"/>
      <c r="D134" s="110"/>
      <c r="E134" s="111"/>
      <c r="F134" s="112"/>
      <c r="G134" s="111"/>
      <c r="H134" s="230" t="s">
        <v>105</v>
      </c>
      <c r="I134" s="194" t="s">
        <v>348</v>
      </c>
      <c r="J134" s="149" t="s">
        <v>216</v>
      </c>
      <c r="K134" s="150"/>
      <c r="L134" s="152" t="s">
        <v>348</v>
      </c>
      <c r="M134" s="149" t="s">
        <v>232</v>
      </c>
      <c r="N134" s="196"/>
      <c r="O134" s="154"/>
      <c r="P134" s="154"/>
      <c r="Q134" s="154"/>
      <c r="R134" s="154"/>
      <c r="S134" s="154"/>
      <c r="T134" s="154"/>
      <c r="U134" s="154"/>
      <c r="V134" s="154"/>
      <c r="W134" s="154"/>
      <c r="X134" s="155"/>
      <c r="Y134" s="147"/>
      <c r="Z134" s="105"/>
      <c r="AA134" s="105"/>
      <c r="AB134" s="106"/>
      <c r="AC134" s="406"/>
      <c r="AD134" s="407"/>
      <c r="AE134" s="407"/>
      <c r="AF134" s="408"/>
      <c r="AI134" s="119" t="str">
        <f>"25:yakinhaiti_code:" &amp; IF(I134="■",1,IF(L134="■",2,0))</f>
        <v>25:yakinhaiti_code:0</v>
      </c>
    </row>
    <row r="135" spans="1:36" ht="18.75" customHeight="1" x14ac:dyDescent="0.15">
      <c r="A135" s="107"/>
      <c r="B135" s="108"/>
      <c r="C135" s="109"/>
      <c r="D135" s="110"/>
      <c r="E135" s="111"/>
      <c r="F135" s="112"/>
      <c r="G135" s="111"/>
      <c r="H135" s="230" t="s">
        <v>424</v>
      </c>
      <c r="I135" s="194" t="s">
        <v>348</v>
      </c>
      <c r="J135" s="149" t="s">
        <v>216</v>
      </c>
      <c r="K135" s="150"/>
      <c r="L135" s="152" t="s">
        <v>348</v>
      </c>
      <c r="M135" s="149" t="s">
        <v>232</v>
      </c>
      <c r="N135" s="196"/>
      <c r="O135" s="154"/>
      <c r="P135" s="154"/>
      <c r="Q135" s="154"/>
      <c r="R135" s="154"/>
      <c r="S135" s="154"/>
      <c r="T135" s="154"/>
      <c r="U135" s="154"/>
      <c r="V135" s="154"/>
      <c r="W135" s="154"/>
      <c r="X135" s="155"/>
      <c r="Y135" s="147"/>
      <c r="Z135" s="105"/>
      <c r="AA135" s="105"/>
      <c r="AB135" s="106"/>
      <c r="AC135" s="406"/>
      <c r="AD135" s="407"/>
      <c r="AE135" s="407"/>
      <c r="AF135" s="408"/>
      <c r="AI135" s="119" t="str">
        <f>"25:jyakuninti_uke_code:" &amp; IF(I135="■",1,IF(L135="■",2,0))</f>
        <v>25:jyakuninti_uke_code:0</v>
      </c>
    </row>
    <row r="136" spans="1:36" ht="18.75" customHeight="1" x14ac:dyDescent="0.15">
      <c r="A136" s="128" t="s">
        <v>348</v>
      </c>
      <c r="B136" s="108">
        <v>25</v>
      </c>
      <c r="C136" s="109" t="s">
        <v>427</v>
      </c>
      <c r="D136" s="128" t="s">
        <v>348</v>
      </c>
      <c r="E136" s="111" t="s">
        <v>287</v>
      </c>
      <c r="F136" s="112"/>
      <c r="G136" s="111"/>
      <c r="H136" s="230" t="s">
        <v>94</v>
      </c>
      <c r="I136" s="194" t="s">
        <v>348</v>
      </c>
      <c r="J136" s="149" t="s">
        <v>230</v>
      </c>
      <c r="K136" s="150"/>
      <c r="L136" s="151"/>
      <c r="M136" s="152" t="s">
        <v>348</v>
      </c>
      <c r="N136" s="149" t="s">
        <v>231</v>
      </c>
      <c r="O136" s="154"/>
      <c r="P136" s="154"/>
      <c r="Q136" s="154"/>
      <c r="R136" s="154"/>
      <c r="S136" s="154"/>
      <c r="T136" s="154"/>
      <c r="U136" s="154"/>
      <c r="V136" s="154"/>
      <c r="W136" s="154"/>
      <c r="X136" s="155"/>
      <c r="Y136" s="147"/>
      <c r="Z136" s="105"/>
      <c r="AA136" s="105"/>
      <c r="AB136" s="106"/>
      <c r="AC136" s="406"/>
      <c r="AD136" s="407"/>
      <c r="AE136" s="407"/>
      <c r="AF136" s="408"/>
      <c r="AI136" s="119" t="str">
        <f>"25:sougei_code:" &amp; IF(I136="■",1,IF(M136="■",2,0))</f>
        <v>25:sougei_code:0</v>
      </c>
    </row>
    <row r="137" spans="1:36" ht="18.75" customHeight="1" x14ac:dyDescent="0.15">
      <c r="A137" s="107"/>
      <c r="B137" s="108"/>
      <c r="C137" s="109"/>
      <c r="D137" s="128" t="s">
        <v>348</v>
      </c>
      <c r="E137" s="111" t="s">
        <v>289</v>
      </c>
      <c r="F137" s="112"/>
      <c r="G137" s="111"/>
      <c r="H137" s="230" t="s">
        <v>108</v>
      </c>
      <c r="I137" s="194" t="s">
        <v>348</v>
      </c>
      <c r="J137" s="149" t="s">
        <v>285</v>
      </c>
      <c r="K137" s="154"/>
      <c r="L137" s="154"/>
      <c r="M137" s="154"/>
      <c r="N137" s="154"/>
      <c r="O137" s="154"/>
      <c r="P137" s="152" t="s">
        <v>348</v>
      </c>
      <c r="Q137" s="149" t="s">
        <v>286</v>
      </c>
      <c r="R137" s="154"/>
      <c r="S137" s="154"/>
      <c r="T137" s="154"/>
      <c r="U137" s="154"/>
      <c r="V137" s="154"/>
      <c r="W137" s="154"/>
      <c r="X137" s="155"/>
      <c r="Y137" s="147"/>
      <c r="Z137" s="105"/>
      <c r="AA137" s="105"/>
      <c r="AB137" s="106"/>
      <c r="AC137" s="406"/>
      <c r="AD137" s="407"/>
      <c r="AE137" s="407"/>
      <c r="AF137" s="408"/>
      <c r="AI137" s="119" t="str">
        <f>"25:" &amp; IF(AND(I137="□",P137="□"),"tokusin_jyusho_code:0:tokusin_yakuzai_code:0",IF(I137="■","tokusin_jyusho_code:2","tokusin_jyusho_code:1")
&amp;IF(P137="■",":tokusin_yakuzai_code:2",":tokusin_yakuzai_code:1"))</f>
        <v>25:tokusin_jyusho_code:0:tokusin_yakuzai_code:0</v>
      </c>
    </row>
    <row r="138" spans="1:36" ht="18.75" customHeight="1" x14ac:dyDescent="0.15">
      <c r="A138" s="107"/>
      <c r="B138" s="108"/>
      <c r="C138" s="109"/>
      <c r="D138" s="110"/>
      <c r="E138" s="111"/>
      <c r="F138" s="112"/>
      <c r="G138" s="111"/>
      <c r="H138" s="230" t="s">
        <v>428</v>
      </c>
      <c r="I138" s="194" t="s">
        <v>348</v>
      </c>
      <c r="J138" s="149" t="s">
        <v>216</v>
      </c>
      <c r="K138" s="150"/>
      <c r="L138" s="152" t="s">
        <v>348</v>
      </c>
      <c r="M138" s="149" t="s">
        <v>232</v>
      </c>
      <c r="N138" s="196"/>
      <c r="O138" s="196"/>
      <c r="P138" s="196"/>
      <c r="Q138" s="196"/>
      <c r="R138" s="196"/>
      <c r="S138" s="196"/>
      <c r="T138" s="196"/>
      <c r="U138" s="196"/>
      <c r="V138" s="196"/>
      <c r="W138" s="196"/>
      <c r="X138" s="197"/>
      <c r="Y138" s="147"/>
      <c r="Z138" s="105"/>
      <c r="AA138" s="105"/>
      <c r="AB138" s="106"/>
      <c r="AC138" s="406"/>
      <c r="AD138" s="407"/>
      <c r="AE138" s="407"/>
      <c r="AF138" s="408"/>
      <c r="AI138" s="119" t="str">
        <f>"25:field198:" &amp; IF(I138="■",1,IF(L138="■",2,0))</f>
        <v>25:field198:0</v>
      </c>
    </row>
    <row r="139" spans="1:36" ht="18.75" customHeight="1" x14ac:dyDescent="0.15">
      <c r="A139" s="107"/>
      <c r="B139" s="108"/>
      <c r="C139" s="109"/>
      <c r="D139" s="110"/>
      <c r="E139" s="111"/>
      <c r="F139" s="112"/>
      <c r="G139" s="111"/>
      <c r="H139" s="230" t="s">
        <v>159</v>
      </c>
      <c r="I139" s="194" t="s">
        <v>348</v>
      </c>
      <c r="J139" s="149" t="s">
        <v>216</v>
      </c>
      <c r="K139" s="150"/>
      <c r="L139" s="152" t="s">
        <v>348</v>
      </c>
      <c r="M139" s="149" t="s">
        <v>232</v>
      </c>
      <c r="N139" s="196"/>
      <c r="O139" s="196"/>
      <c r="P139" s="196"/>
      <c r="Q139" s="196"/>
      <c r="R139" s="196"/>
      <c r="S139" s="196"/>
      <c r="T139" s="196"/>
      <c r="U139" s="196"/>
      <c r="V139" s="196"/>
      <c r="W139" s="196"/>
      <c r="X139" s="197"/>
      <c r="Y139" s="147"/>
      <c r="Z139" s="105"/>
      <c r="AA139" s="105"/>
      <c r="AB139" s="106"/>
      <c r="AC139" s="406"/>
      <c r="AD139" s="407"/>
      <c r="AE139" s="407"/>
      <c r="AF139" s="408"/>
      <c r="AI139" s="119" t="str">
        <f>"25:field199:" &amp; IF(I139="■",1,IF(L139="■",2,0))</f>
        <v>25:field199:0</v>
      </c>
    </row>
    <row r="140" spans="1:36" ht="19.5" customHeight="1" x14ac:dyDescent="0.15">
      <c r="A140" s="107"/>
      <c r="B140" s="108"/>
      <c r="C140" s="109"/>
      <c r="D140" s="110"/>
      <c r="E140" s="111"/>
      <c r="F140" s="112"/>
      <c r="G140" s="113"/>
      <c r="H140" s="114" t="s">
        <v>372</v>
      </c>
      <c r="I140" s="194" t="s">
        <v>348</v>
      </c>
      <c r="J140" s="149" t="s">
        <v>216</v>
      </c>
      <c r="K140" s="149"/>
      <c r="L140" s="152" t="s">
        <v>348</v>
      </c>
      <c r="M140" s="149" t="s">
        <v>232</v>
      </c>
      <c r="N140" s="149"/>
      <c r="O140" s="154"/>
      <c r="P140" s="149"/>
      <c r="Q140" s="154"/>
      <c r="R140" s="154"/>
      <c r="S140" s="154"/>
      <c r="T140" s="154"/>
      <c r="U140" s="154"/>
      <c r="V140" s="154"/>
      <c r="W140" s="154"/>
      <c r="X140" s="155"/>
      <c r="Y140" s="105"/>
      <c r="Z140" s="105"/>
      <c r="AA140" s="105"/>
      <c r="AB140" s="106"/>
      <c r="AC140" s="406"/>
      <c r="AD140" s="407"/>
      <c r="AE140" s="407"/>
      <c r="AF140" s="408"/>
      <c r="AI140" s="119" t="str">
        <f>"25:field224:" &amp; IF(I140="■",1,IF(L140="■",2,0))</f>
        <v>25:field224:0</v>
      </c>
    </row>
    <row r="141" spans="1:36" ht="18.75" customHeight="1" x14ac:dyDescent="0.15">
      <c r="A141" s="107"/>
      <c r="B141" s="108"/>
      <c r="C141" s="109"/>
      <c r="D141" s="110"/>
      <c r="E141" s="111"/>
      <c r="F141" s="112"/>
      <c r="G141" s="111"/>
      <c r="H141" s="230" t="s">
        <v>106</v>
      </c>
      <c r="I141" s="194" t="s">
        <v>348</v>
      </c>
      <c r="J141" s="149" t="s">
        <v>216</v>
      </c>
      <c r="K141" s="150"/>
      <c r="L141" s="152" t="s">
        <v>348</v>
      </c>
      <c r="M141" s="149" t="s">
        <v>232</v>
      </c>
      <c r="N141" s="196"/>
      <c r="O141" s="154"/>
      <c r="P141" s="154"/>
      <c r="Q141" s="154"/>
      <c r="R141" s="154"/>
      <c r="S141" s="154"/>
      <c r="T141" s="154"/>
      <c r="U141" s="154"/>
      <c r="V141" s="154"/>
      <c r="W141" s="154"/>
      <c r="X141" s="155"/>
      <c r="Y141" s="147"/>
      <c r="Z141" s="105"/>
      <c r="AA141" s="105"/>
      <c r="AB141" s="106"/>
      <c r="AC141" s="406"/>
      <c r="AD141" s="407"/>
      <c r="AE141" s="407"/>
      <c r="AF141" s="408"/>
      <c r="AI141" s="119" t="str">
        <f>"25:ryouyoushoku_code:" &amp; IF(I141="■",1,IF(L141="■",2,0))</f>
        <v>25:ryouyoushoku_code:0</v>
      </c>
    </row>
    <row r="142" spans="1:36" ht="18.75" customHeight="1" x14ac:dyDescent="0.15">
      <c r="A142" s="107"/>
      <c r="B142" s="108"/>
      <c r="C142" s="109"/>
      <c r="D142" s="110"/>
      <c r="E142" s="111"/>
      <c r="F142" s="112"/>
      <c r="G142" s="111"/>
      <c r="H142" s="230" t="s">
        <v>165</v>
      </c>
      <c r="I142" s="194" t="s">
        <v>348</v>
      </c>
      <c r="J142" s="149" t="s">
        <v>216</v>
      </c>
      <c r="K142" s="149"/>
      <c r="L142" s="152" t="s">
        <v>348</v>
      </c>
      <c r="M142" s="149" t="s">
        <v>217</v>
      </c>
      <c r="N142" s="149"/>
      <c r="O142" s="152" t="s">
        <v>348</v>
      </c>
      <c r="P142" s="149" t="s">
        <v>218</v>
      </c>
      <c r="Q142" s="154"/>
      <c r="R142" s="154"/>
      <c r="S142" s="154"/>
      <c r="T142" s="154"/>
      <c r="U142" s="154"/>
      <c r="V142" s="154"/>
      <c r="W142" s="154"/>
      <c r="X142" s="155"/>
      <c r="Y142" s="147"/>
      <c r="Z142" s="105"/>
      <c r="AA142" s="105"/>
      <c r="AB142" s="106"/>
      <c r="AC142" s="406"/>
      <c r="AD142" s="407"/>
      <c r="AE142" s="407"/>
      <c r="AF142" s="408"/>
      <c r="AI142" s="119" t="str">
        <f>"25:ninti_senmoncare_code:" &amp; IF(I142="■",1,IF(O142="■",3,IF(L142="■",2,0)))</f>
        <v>25:ninti_senmoncare_code:0</v>
      </c>
    </row>
    <row r="143" spans="1:36" ht="18.75" customHeight="1" x14ac:dyDescent="0.15">
      <c r="A143" s="107"/>
      <c r="B143" s="108"/>
      <c r="C143" s="109"/>
      <c r="D143" s="110"/>
      <c r="E143" s="111"/>
      <c r="F143" s="112"/>
      <c r="G143" s="111"/>
      <c r="H143" s="230" t="s">
        <v>107</v>
      </c>
      <c r="I143" s="194" t="s">
        <v>348</v>
      </c>
      <c r="J143" s="149" t="s">
        <v>282</v>
      </c>
      <c r="K143" s="149"/>
      <c r="L143" s="151"/>
      <c r="M143" s="151"/>
      <c r="N143" s="152" t="s">
        <v>348</v>
      </c>
      <c r="O143" s="149" t="s">
        <v>283</v>
      </c>
      <c r="P143" s="154"/>
      <c r="Q143" s="154"/>
      <c r="R143" s="154"/>
      <c r="S143" s="152" t="s">
        <v>348</v>
      </c>
      <c r="T143" s="149" t="s">
        <v>284</v>
      </c>
      <c r="U143" s="154"/>
      <c r="V143" s="154"/>
      <c r="W143" s="154"/>
      <c r="X143" s="155"/>
      <c r="Y143" s="147"/>
      <c r="Z143" s="105"/>
      <c r="AA143" s="105"/>
      <c r="AB143" s="106"/>
      <c r="AC143" s="406"/>
      <c r="AD143" s="407"/>
      <c r="AE143" s="407"/>
      <c r="AF143" s="408"/>
      <c r="AI143" s="119" t="str">
        <f>"25:"&amp;IF(AND(I143="□",N143="□",S143="□"),"koriha_gengo_code:0:riha_seisin_code:0:koriha_other_code:0",IF(I143="■","koriha_gengo_code:2","koriha_gengo_code:1")
&amp;IF(N143="■",":riha_seisin_code:2",":riha_seisin_code:1")
&amp;IF(S143="■",":koriha_other_code:2",":koriha_other_code:1"))</f>
        <v>25:koriha_gengo_code:0:riha_seisin_code:0:koriha_other_code:0</v>
      </c>
    </row>
    <row r="144" spans="1:36" ht="18.75" customHeight="1" x14ac:dyDescent="0.15">
      <c r="A144" s="107"/>
      <c r="B144" s="108"/>
      <c r="C144" s="109"/>
      <c r="D144" s="110"/>
      <c r="E144" s="111"/>
      <c r="F144" s="112"/>
      <c r="G144" s="111"/>
      <c r="H144" s="240" t="s">
        <v>385</v>
      </c>
      <c r="I144" s="194" t="s">
        <v>348</v>
      </c>
      <c r="J144" s="149" t="s">
        <v>216</v>
      </c>
      <c r="K144" s="149"/>
      <c r="L144" s="152" t="s">
        <v>348</v>
      </c>
      <c r="M144" s="149" t="s">
        <v>217</v>
      </c>
      <c r="N144" s="149"/>
      <c r="O144" s="152" t="s">
        <v>348</v>
      </c>
      <c r="P144" s="149" t="s">
        <v>218</v>
      </c>
      <c r="Q144" s="154"/>
      <c r="R144" s="154"/>
      <c r="S144" s="154"/>
      <c r="T144" s="154"/>
      <c r="U144" s="241"/>
      <c r="V144" s="241"/>
      <c r="W144" s="241"/>
      <c r="X144" s="242"/>
      <c r="Y144" s="147"/>
      <c r="Z144" s="105"/>
      <c r="AA144" s="105"/>
      <c r="AB144" s="106"/>
      <c r="AC144" s="406"/>
      <c r="AD144" s="407"/>
      <c r="AE144" s="407"/>
      <c r="AF144" s="408"/>
      <c r="AI144" s="119" t="str">
        <f>"25:field225:" &amp; IF(I144="■",1,IF(L144="■",2,IF(O144="■",3,0)))</f>
        <v>25:field225:0</v>
      </c>
    </row>
    <row r="145" spans="1:36" ht="18.75" customHeight="1" x14ac:dyDescent="0.15">
      <c r="A145" s="107"/>
      <c r="B145" s="108"/>
      <c r="C145" s="109"/>
      <c r="D145" s="110"/>
      <c r="E145" s="111"/>
      <c r="F145" s="112"/>
      <c r="G145" s="111"/>
      <c r="H145" s="230" t="s">
        <v>111</v>
      </c>
      <c r="I145" s="194" t="s">
        <v>348</v>
      </c>
      <c r="J145" s="149" t="s">
        <v>216</v>
      </c>
      <c r="K145" s="149"/>
      <c r="L145" s="152" t="s">
        <v>348</v>
      </c>
      <c r="M145" s="149" t="s">
        <v>224</v>
      </c>
      <c r="N145" s="149"/>
      <c r="O145" s="152" t="s">
        <v>348</v>
      </c>
      <c r="P145" s="149" t="s">
        <v>225</v>
      </c>
      <c r="Q145" s="196"/>
      <c r="R145" s="152" t="s">
        <v>348</v>
      </c>
      <c r="S145" s="149" t="s">
        <v>248</v>
      </c>
      <c r="T145" s="149"/>
      <c r="U145" s="149"/>
      <c r="V145" s="149"/>
      <c r="W145" s="149"/>
      <c r="X145" s="158"/>
      <c r="Y145" s="147"/>
      <c r="Z145" s="105"/>
      <c r="AA145" s="105"/>
      <c r="AB145" s="106"/>
      <c r="AC145" s="406"/>
      <c r="AD145" s="407"/>
      <c r="AE145" s="407"/>
      <c r="AF145" s="408"/>
      <c r="AI145" s="119" t="str">
        <f>"25:serteikyo_kyoka_code:" &amp; IF(I145="■",1,IF(L145="■",6,IF(O145="■",5,IF(R145="■",7,0))))</f>
        <v>25:serteikyo_kyoka_code:0</v>
      </c>
    </row>
    <row r="146" spans="1:36" ht="18.75" customHeight="1" x14ac:dyDescent="0.15">
      <c r="A146" s="107"/>
      <c r="B146" s="108"/>
      <c r="C146" s="109"/>
      <c r="D146" s="110"/>
      <c r="E146" s="111"/>
      <c r="F146" s="112"/>
      <c r="G146" s="111"/>
      <c r="H146" s="329" t="s">
        <v>409</v>
      </c>
      <c r="I146" s="360" t="s">
        <v>348</v>
      </c>
      <c r="J146" s="359" t="s">
        <v>216</v>
      </c>
      <c r="K146" s="359"/>
      <c r="L146" s="360" t="s">
        <v>348</v>
      </c>
      <c r="M146" s="359" t="s">
        <v>232</v>
      </c>
      <c r="N146" s="359"/>
      <c r="O146" s="160"/>
      <c r="P146" s="160"/>
      <c r="Q146" s="160"/>
      <c r="R146" s="160"/>
      <c r="S146" s="160"/>
      <c r="T146" s="160"/>
      <c r="U146" s="160"/>
      <c r="V146" s="160"/>
      <c r="W146" s="160"/>
      <c r="X146" s="163"/>
      <c r="Y146" s="147"/>
      <c r="Z146" s="105"/>
      <c r="AA146" s="105"/>
      <c r="AB146" s="106"/>
      <c r="AC146" s="406"/>
      <c r="AD146" s="407"/>
      <c r="AE146" s="407"/>
      <c r="AF146" s="408"/>
      <c r="AI146" s="119" t="str">
        <f>"25:field221:" &amp; IF(I146="■",1,IF(L146="■",2,0))</f>
        <v>25:field221:0</v>
      </c>
    </row>
    <row r="147" spans="1:36" ht="18.75" customHeight="1" x14ac:dyDescent="0.15">
      <c r="A147" s="107"/>
      <c r="B147" s="108"/>
      <c r="C147" s="109"/>
      <c r="D147" s="110"/>
      <c r="E147" s="111"/>
      <c r="F147" s="112"/>
      <c r="G147" s="111"/>
      <c r="H147" s="328"/>
      <c r="I147" s="360"/>
      <c r="J147" s="359"/>
      <c r="K147" s="359"/>
      <c r="L147" s="360"/>
      <c r="M147" s="359"/>
      <c r="N147" s="359"/>
      <c r="O147" s="115"/>
      <c r="P147" s="115"/>
      <c r="Q147" s="115"/>
      <c r="R147" s="115"/>
      <c r="S147" s="115"/>
      <c r="T147" s="115"/>
      <c r="U147" s="115"/>
      <c r="V147" s="115"/>
      <c r="W147" s="115"/>
      <c r="X147" s="161"/>
      <c r="Y147" s="147"/>
      <c r="Z147" s="105"/>
      <c r="AA147" s="105"/>
      <c r="AB147" s="106"/>
      <c r="AC147" s="406"/>
      <c r="AD147" s="407"/>
      <c r="AE147" s="407"/>
      <c r="AF147" s="408"/>
    </row>
    <row r="148" spans="1:36" ht="18.75" customHeight="1" x14ac:dyDescent="0.15">
      <c r="A148" s="170"/>
      <c r="B148" s="108"/>
      <c r="C148" s="172"/>
      <c r="D148" s="173"/>
      <c r="E148" s="174"/>
      <c r="F148" s="175"/>
      <c r="G148" s="176"/>
      <c r="H148" s="95" t="s">
        <v>405</v>
      </c>
      <c r="I148" s="177" t="s">
        <v>348</v>
      </c>
      <c r="J148" s="96" t="s">
        <v>216</v>
      </c>
      <c r="K148" s="96"/>
      <c r="L148" s="178" t="s">
        <v>348</v>
      </c>
      <c r="M148" s="96" t="s">
        <v>373</v>
      </c>
      <c r="N148" s="97"/>
      <c r="O148" s="178" t="s">
        <v>348</v>
      </c>
      <c r="P148" s="99" t="s">
        <v>374</v>
      </c>
      <c r="Q148" s="98"/>
      <c r="R148" s="178" t="s">
        <v>348</v>
      </c>
      <c r="S148" s="96" t="s">
        <v>375</v>
      </c>
      <c r="T148" s="98"/>
      <c r="U148" s="178" t="s">
        <v>348</v>
      </c>
      <c r="V148" s="96" t="s">
        <v>376</v>
      </c>
      <c r="W148" s="100"/>
      <c r="X148" s="101"/>
      <c r="Y148" s="179"/>
      <c r="Z148" s="179"/>
      <c r="AA148" s="179"/>
      <c r="AB148" s="180"/>
      <c r="AC148" s="409"/>
      <c r="AD148" s="410"/>
      <c r="AE148" s="410"/>
      <c r="AF148" s="411"/>
      <c r="AG148" s="119"/>
      <c r="AH148" s="119"/>
      <c r="AI148" s="119" t="str">
        <f>"25:shoguukaizen_code:"&amp;IF(I148="■",1,IF(L148="■",7,IF(O148="■",8,IF(R148="■",9,IF(U148="■","A",0)))))</f>
        <v>25:shoguukaizen_code:0</v>
      </c>
    </row>
    <row r="149" spans="1:36" ht="18.75" customHeight="1" x14ac:dyDescent="0.15">
      <c r="A149" s="130"/>
      <c r="B149" s="131"/>
      <c r="C149" s="132"/>
      <c r="D149" s="133"/>
      <c r="E149" s="126"/>
      <c r="F149" s="134"/>
      <c r="G149" s="126"/>
      <c r="H149" s="214" t="s">
        <v>96</v>
      </c>
      <c r="I149" s="140" t="s">
        <v>348</v>
      </c>
      <c r="J149" s="184" t="s">
        <v>265</v>
      </c>
      <c r="K149" s="185"/>
      <c r="L149" s="186"/>
      <c r="M149" s="187" t="s">
        <v>348</v>
      </c>
      <c r="N149" s="184" t="s">
        <v>266</v>
      </c>
      <c r="O149" s="222"/>
      <c r="P149" s="185"/>
      <c r="Q149" s="185"/>
      <c r="R149" s="185"/>
      <c r="S149" s="185"/>
      <c r="T149" s="185"/>
      <c r="U149" s="185"/>
      <c r="V149" s="185"/>
      <c r="W149" s="185"/>
      <c r="X149" s="250"/>
      <c r="Y149" s="136" t="s">
        <v>348</v>
      </c>
      <c r="Z149" s="124" t="s">
        <v>215</v>
      </c>
      <c r="AA149" s="124"/>
      <c r="AB149" s="139"/>
      <c r="AC149" s="403"/>
      <c r="AD149" s="404"/>
      <c r="AE149" s="404"/>
      <c r="AF149" s="405"/>
      <c r="AG149" s="119" t="str">
        <f>"ser_code = '" &amp; IF(A158="■",25,"") &amp; "'"</f>
        <v>ser_code = ''</v>
      </c>
      <c r="AH149" s="119"/>
      <c r="AI149" s="119" t="str">
        <f>"25:yakan_kinmu_code:" &amp; IF(I149="■",1,IF(M149="■",6,0))</f>
        <v>25:yakan_kinmu_code:0</v>
      </c>
      <c r="AJ149" s="119" t="str">
        <f>"25:field203:" &amp; IF(Y149="■",1,IF(Y150="■",2,0))</f>
        <v>25:field203:0</v>
      </c>
    </row>
    <row r="150" spans="1:36" ht="18.75" customHeight="1" x14ac:dyDescent="0.15">
      <c r="A150" s="107"/>
      <c r="B150" s="108"/>
      <c r="C150" s="109"/>
      <c r="D150" s="110"/>
      <c r="E150" s="111"/>
      <c r="F150" s="112"/>
      <c r="G150" s="111"/>
      <c r="H150" s="370" t="s">
        <v>92</v>
      </c>
      <c r="I150" s="194" t="s">
        <v>348</v>
      </c>
      <c r="J150" s="104" t="s">
        <v>216</v>
      </c>
      <c r="K150" s="104"/>
      <c r="L150" s="212"/>
      <c r="M150" s="123" t="s">
        <v>348</v>
      </c>
      <c r="N150" s="104" t="s">
        <v>254</v>
      </c>
      <c r="O150" s="104"/>
      <c r="P150" s="212"/>
      <c r="Q150" s="123" t="s">
        <v>348</v>
      </c>
      <c r="R150" s="103" t="s">
        <v>255</v>
      </c>
      <c r="U150" s="123" t="s">
        <v>348</v>
      </c>
      <c r="V150" s="103" t="s">
        <v>256</v>
      </c>
      <c r="X150" s="165"/>
      <c r="Y150" s="123" t="s">
        <v>348</v>
      </c>
      <c r="Z150" s="104" t="s">
        <v>221</v>
      </c>
      <c r="AA150" s="105"/>
      <c r="AB150" s="106"/>
      <c r="AC150" s="406"/>
      <c r="AD150" s="407"/>
      <c r="AE150" s="407"/>
      <c r="AF150" s="408"/>
      <c r="AG150" s="119" t="str">
        <f>"25:sisetukbn_code:" &amp; IF(D158="■",6,IF(D159="■",8,0))</f>
        <v>25:sisetukbn_code:0</v>
      </c>
      <c r="AH150" s="119"/>
      <c r="AI150" s="119" t="str">
        <f>"25:"&amp;IF(AND(I150="□",M150="□",Q150="□",U150="□",I151="□",M151="□",Q151="□"),"ketu_doctor_code:0",IF(I150="■","ketu_doctor_code:1:ketu_kangos_code:1:ketu_kshoku_code:1:ketu_rryoho_code:1:ketu_sryoho_code:1:ketu_gengo_code:1",
IF(M150="■","ketu_doctor_code:2","ketu_doctor_code:1")
&amp;IF(Q150="■",":ketu_kangos_code:2",":ketu_kangos_code:1")
&amp;IF(U150="■",":ketu_kshoku_code:2",":ketu_kshoku_code:1")
&amp;IF(I151="■",":ketu_rryoho_code:2",":ketu_rryoho_code:1")
&amp;IF(M151="■",":ketu_sryoho_code:2",":ketu_sryoho_code:1")
&amp;IF(Q151="■",":ketu_gengo_code:2",":ketu_gengo_code:1")))</f>
        <v>25:ketu_doctor_code:0</v>
      </c>
      <c r="AJ150" s="119"/>
    </row>
    <row r="151" spans="1:36" ht="18.75" customHeight="1" x14ac:dyDescent="0.15">
      <c r="A151" s="107"/>
      <c r="B151" s="108"/>
      <c r="C151" s="109"/>
      <c r="D151" s="110"/>
      <c r="E151" s="111"/>
      <c r="F151" s="112"/>
      <c r="G151" s="111"/>
      <c r="H151" s="371"/>
      <c r="I151" s="128" t="s">
        <v>348</v>
      </c>
      <c r="J151" s="115" t="s">
        <v>257</v>
      </c>
      <c r="K151" s="144"/>
      <c r="L151" s="144"/>
      <c r="M151" s="191" t="s">
        <v>348</v>
      </c>
      <c r="N151" s="115" t="s">
        <v>258</v>
      </c>
      <c r="O151" s="144"/>
      <c r="P151" s="144"/>
      <c r="Q151" s="191" t="s">
        <v>348</v>
      </c>
      <c r="R151" s="115" t="s">
        <v>259</v>
      </c>
      <c r="S151" s="144"/>
      <c r="T151" s="144"/>
      <c r="U151" s="144"/>
      <c r="V151" s="144"/>
      <c r="W151" s="144"/>
      <c r="X151" s="226"/>
      <c r="Y151" s="147"/>
      <c r="Z151" s="105"/>
      <c r="AA151" s="105"/>
      <c r="AB151" s="106"/>
      <c r="AC151" s="406"/>
      <c r="AD151" s="407"/>
      <c r="AE151" s="407"/>
      <c r="AF151" s="408"/>
      <c r="AG151" s="119"/>
      <c r="AH151" s="119"/>
      <c r="AI151" s="119"/>
      <c r="AJ151" s="119"/>
    </row>
    <row r="152" spans="1:36" ht="18.75" customHeight="1" x14ac:dyDescent="0.15">
      <c r="A152" s="107"/>
      <c r="B152" s="108"/>
      <c r="C152" s="109"/>
      <c r="D152" s="110"/>
      <c r="E152" s="111"/>
      <c r="F152" s="112"/>
      <c r="G152" s="111"/>
      <c r="H152" s="230" t="s">
        <v>97</v>
      </c>
      <c r="I152" s="194" t="s">
        <v>348</v>
      </c>
      <c r="J152" s="149" t="s">
        <v>230</v>
      </c>
      <c r="K152" s="150"/>
      <c r="L152" s="151"/>
      <c r="M152" s="152" t="s">
        <v>348</v>
      </c>
      <c r="N152" s="149" t="s">
        <v>231</v>
      </c>
      <c r="O152" s="154"/>
      <c r="P152" s="150"/>
      <c r="Q152" s="150"/>
      <c r="R152" s="150"/>
      <c r="S152" s="150"/>
      <c r="T152" s="150"/>
      <c r="U152" s="150"/>
      <c r="V152" s="150"/>
      <c r="W152" s="150"/>
      <c r="X152" s="159"/>
      <c r="Y152" s="147"/>
      <c r="Z152" s="105"/>
      <c r="AA152" s="105"/>
      <c r="AB152" s="106"/>
      <c r="AC152" s="406"/>
      <c r="AD152" s="407"/>
      <c r="AE152" s="407"/>
      <c r="AF152" s="408"/>
      <c r="AG152" s="119"/>
      <c r="AH152" s="119"/>
      <c r="AI152" s="119" t="str">
        <f>"25:unitcare_code:" &amp; IF(I152="■",1,IF(M152="■",2,0))</f>
        <v>25:unitcare_code:0</v>
      </c>
      <c r="AJ152" s="119"/>
    </row>
    <row r="153" spans="1:36" s="119" customFormat="1" ht="18.75" customHeight="1" x14ac:dyDescent="0.15">
      <c r="A153" s="107"/>
      <c r="B153" s="108"/>
      <c r="C153" s="238"/>
      <c r="D153" s="239"/>
      <c r="E153" s="111"/>
      <c r="F153" s="112"/>
      <c r="G153" s="113"/>
      <c r="H153" s="230" t="s">
        <v>103</v>
      </c>
      <c r="I153" s="148" t="s">
        <v>348</v>
      </c>
      <c r="J153" s="149" t="s">
        <v>360</v>
      </c>
      <c r="K153" s="150"/>
      <c r="L153" s="151"/>
      <c r="M153" s="152" t="s">
        <v>348</v>
      </c>
      <c r="N153" s="149" t="s">
        <v>361</v>
      </c>
      <c r="O153" s="150"/>
      <c r="P153" s="150"/>
      <c r="Q153" s="150"/>
      <c r="R153" s="150"/>
      <c r="S153" s="150"/>
      <c r="T153" s="150"/>
      <c r="U153" s="150"/>
      <c r="V153" s="150"/>
      <c r="W153" s="150"/>
      <c r="X153" s="159"/>
      <c r="Y153" s="147"/>
      <c r="Z153" s="105"/>
      <c r="AA153" s="105"/>
      <c r="AB153" s="106"/>
      <c r="AC153" s="406"/>
      <c r="AD153" s="407"/>
      <c r="AE153" s="407"/>
      <c r="AF153" s="408"/>
      <c r="AI153" s="119" t="str">
        <f>"25:sintaikousoku_code:" &amp; IF(I153="■",1,IF(M153="■",2,0))</f>
        <v>25:sintaikousoku_code:0</v>
      </c>
    </row>
    <row r="154" spans="1:36" ht="19.5" customHeight="1" x14ac:dyDescent="0.15">
      <c r="A154" s="107"/>
      <c r="B154" s="108"/>
      <c r="C154" s="109"/>
      <c r="D154" s="110"/>
      <c r="E154" s="111"/>
      <c r="F154" s="112"/>
      <c r="G154" s="113"/>
      <c r="H154" s="114" t="s">
        <v>369</v>
      </c>
      <c r="I154" s="194" t="s">
        <v>348</v>
      </c>
      <c r="J154" s="149" t="s">
        <v>360</v>
      </c>
      <c r="K154" s="150"/>
      <c r="L154" s="151"/>
      <c r="M154" s="152" t="s">
        <v>348</v>
      </c>
      <c r="N154" s="149" t="s">
        <v>370</v>
      </c>
      <c r="O154" s="149"/>
      <c r="P154" s="149"/>
      <c r="Q154" s="154"/>
      <c r="R154" s="154"/>
      <c r="S154" s="154"/>
      <c r="T154" s="154"/>
      <c r="U154" s="154"/>
      <c r="V154" s="154"/>
      <c r="W154" s="154"/>
      <c r="X154" s="155"/>
      <c r="Y154" s="105"/>
      <c r="Z154" s="105"/>
      <c r="AA154" s="105"/>
      <c r="AB154" s="106"/>
      <c r="AC154" s="406"/>
      <c r="AD154" s="407"/>
      <c r="AE154" s="407"/>
      <c r="AF154" s="408"/>
      <c r="AI154" s="119" t="str">
        <f>"25:field223:" &amp; IF(I154="■",1,IF(M154="■",2,0))</f>
        <v>25:field223:0</v>
      </c>
    </row>
    <row r="155" spans="1:36" ht="19.5" customHeight="1" x14ac:dyDescent="0.15">
      <c r="A155" s="107"/>
      <c r="B155" s="108"/>
      <c r="C155" s="109"/>
      <c r="D155" s="110"/>
      <c r="E155" s="111"/>
      <c r="F155" s="112"/>
      <c r="G155" s="113"/>
      <c r="H155" s="114" t="s">
        <v>390</v>
      </c>
      <c r="I155" s="194" t="s">
        <v>348</v>
      </c>
      <c r="J155" s="115" t="s">
        <v>360</v>
      </c>
      <c r="K155" s="166"/>
      <c r="L155" s="116"/>
      <c r="M155" s="191" t="s">
        <v>348</v>
      </c>
      <c r="N155" s="115" t="s">
        <v>370</v>
      </c>
      <c r="O155" s="115"/>
      <c r="P155" s="115"/>
      <c r="Q155" s="145"/>
      <c r="R155" s="145"/>
      <c r="S155" s="145"/>
      <c r="T155" s="145"/>
      <c r="U155" s="145"/>
      <c r="V155" s="145"/>
      <c r="W155" s="145"/>
      <c r="X155" s="146"/>
      <c r="Y155" s="105"/>
      <c r="Z155" s="104"/>
      <c r="AA155" s="105"/>
      <c r="AB155" s="106"/>
      <c r="AC155" s="406"/>
      <c r="AD155" s="407"/>
      <c r="AE155" s="407"/>
      <c r="AF155" s="408"/>
      <c r="AI155" s="119" t="str">
        <f>"25:field232:" &amp; IF(I155="■",1,IF(M155="■",2,0))</f>
        <v>25:field232:0</v>
      </c>
    </row>
    <row r="156" spans="1:36" ht="18.75" customHeight="1" x14ac:dyDescent="0.15">
      <c r="A156" s="107"/>
      <c r="B156" s="108"/>
      <c r="C156" s="109"/>
      <c r="D156" s="110"/>
      <c r="E156" s="111"/>
      <c r="F156" s="112"/>
      <c r="G156" s="111"/>
      <c r="H156" s="230" t="s">
        <v>105</v>
      </c>
      <c r="I156" s="194" t="s">
        <v>348</v>
      </c>
      <c r="J156" s="149" t="s">
        <v>216</v>
      </c>
      <c r="K156" s="150"/>
      <c r="L156" s="152" t="s">
        <v>348</v>
      </c>
      <c r="M156" s="149" t="s">
        <v>232</v>
      </c>
      <c r="N156" s="196"/>
      <c r="O156" s="154"/>
      <c r="P156" s="154"/>
      <c r="Q156" s="154"/>
      <c r="R156" s="154"/>
      <c r="S156" s="154"/>
      <c r="T156" s="154"/>
      <c r="U156" s="154"/>
      <c r="V156" s="154"/>
      <c r="W156" s="154"/>
      <c r="X156" s="155"/>
      <c r="Y156" s="147"/>
      <c r="Z156" s="105"/>
      <c r="AA156" s="105"/>
      <c r="AB156" s="106"/>
      <c r="AC156" s="406"/>
      <c r="AD156" s="407"/>
      <c r="AE156" s="407"/>
      <c r="AF156" s="408"/>
      <c r="AI156" s="119" t="str">
        <f>"25:yakinhaiti_code:" &amp; IF(I156="■",1,IF(L156="■",2,0))</f>
        <v>25:yakinhaiti_code:0</v>
      </c>
    </row>
    <row r="157" spans="1:36" ht="18.75" customHeight="1" x14ac:dyDescent="0.15">
      <c r="A157" s="107"/>
      <c r="B157" s="108"/>
      <c r="C157" s="109"/>
      <c r="D157" s="110"/>
      <c r="E157" s="111"/>
      <c r="F157" s="112"/>
      <c r="G157" s="111"/>
      <c r="H157" s="230" t="s">
        <v>424</v>
      </c>
      <c r="I157" s="194" t="s">
        <v>348</v>
      </c>
      <c r="J157" s="149" t="s">
        <v>216</v>
      </c>
      <c r="K157" s="150"/>
      <c r="L157" s="152" t="s">
        <v>348</v>
      </c>
      <c r="M157" s="149" t="s">
        <v>232</v>
      </c>
      <c r="N157" s="196"/>
      <c r="O157" s="154"/>
      <c r="P157" s="154"/>
      <c r="Q157" s="154"/>
      <c r="R157" s="154"/>
      <c r="S157" s="154"/>
      <c r="T157" s="154"/>
      <c r="U157" s="154"/>
      <c r="V157" s="154"/>
      <c r="W157" s="154"/>
      <c r="X157" s="155"/>
      <c r="Y157" s="147"/>
      <c r="Z157" s="105"/>
      <c r="AA157" s="105"/>
      <c r="AB157" s="106"/>
      <c r="AC157" s="406"/>
      <c r="AD157" s="407"/>
      <c r="AE157" s="407"/>
      <c r="AF157" s="408"/>
      <c r="AI157" s="119" t="str">
        <f>"25:jyakuninti_uke_code:" &amp; IF(I157="■",1,IF(L157="■",2,0))</f>
        <v>25:jyakuninti_uke_code:0</v>
      </c>
    </row>
    <row r="158" spans="1:36" ht="18.75" customHeight="1" x14ac:dyDescent="0.15">
      <c r="A158" s="128" t="s">
        <v>348</v>
      </c>
      <c r="B158" s="108">
        <v>25</v>
      </c>
      <c r="C158" s="109" t="s">
        <v>427</v>
      </c>
      <c r="D158" s="128" t="s">
        <v>348</v>
      </c>
      <c r="E158" s="111" t="s">
        <v>288</v>
      </c>
      <c r="F158" s="112"/>
      <c r="G158" s="111"/>
      <c r="H158" s="230" t="s">
        <v>94</v>
      </c>
      <c r="I158" s="194" t="s">
        <v>348</v>
      </c>
      <c r="J158" s="149" t="s">
        <v>230</v>
      </c>
      <c r="K158" s="150"/>
      <c r="L158" s="151"/>
      <c r="M158" s="152" t="s">
        <v>348</v>
      </c>
      <c r="N158" s="149" t="s">
        <v>231</v>
      </c>
      <c r="O158" s="154"/>
      <c r="P158" s="154"/>
      <c r="Q158" s="154"/>
      <c r="R158" s="154"/>
      <c r="S158" s="154"/>
      <c r="T158" s="154"/>
      <c r="U158" s="154"/>
      <c r="V158" s="154"/>
      <c r="W158" s="154"/>
      <c r="X158" s="155"/>
      <c r="Y158" s="147"/>
      <c r="Z158" s="105"/>
      <c r="AA158" s="105"/>
      <c r="AB158" s="106"/>
      <c r="AC158" s="406"/>
      <c r="AD158" s="407"/>
      <c r="AE158" s="407"/>
      <c r="AF158" s="408"/>
      <c r="AI158" s="119" t="str">
        <f>"25:sougei_code:" &amp; IF(I158="■",1,IF(M158="■",2,0))</f>
        <v>25:sougei_code:0</v>
      </c>
    </row>
    <row r="159" spans="1:36" ht="18.75" customHeight="1" x14ac:dyDescent="0.15">
      <c r="A159" s="107"/>
      <c r="B159" s="108"/>
      <c r="C159" s="109"/>
      <c r="D159" s="128" t="s">
        <v>348</v>
      </c>
      <c r="E159" s="111" t="s">
        <v>290</v>
      </c>
      <c r="F159" s="112"/>
      <c r="G159" s="111"/>
      <c r="H159" s="230" t="s">
        <v>108</v>
      </c>
      <c r="I159" s="194" t="s">
        <v>348</v>
      </c>
      <c r="J159" s="149" t="s">
        <v>285</v>
      </c>
      <c r="K159" s="154"/>
      <c r="L159" s="154"/>
      <c r="M159" s="154"/>
      <c r="N159" s="154"/>
      <c r="O159" s="154"/>
      <c r="P159" s="152" t="s">
        <v>348</v>
      </c>
      <c r="Q159" s="149" t="s">
        <v>286</v>
      </c>
      <c r="R159" s="154"/>
      <c r="S159" s="154"/>
      <c r="T159" s="154"/>
      <c r="U159" s="154"/>
      <c r="V159" s="154"/>
      <c r="W159" s="154"/>
      <c r="X159" s="155"/>
      <c r="Y159" s="147"/>
      <c r="Z159" s="105"/>
      <c r="AA159" s="105"/>
      <c r="AB159" s="106"/>
      <c r="AC159" s="406"/>
      <c r="AD159" s="407"/>
      <c r="AE159" s="407"/>
      <c r="AF159" s="408"/>
      <c r="AI159" s="119" t="str">
        <f>"25:" &amp; IF(AND(I159="□",P159="□"),"tokusin_jyusho_code:0:tokusin_yakuzai_code:0",IF(I159="■","tokusin_jyusho_code:2","tokusin_jyusho_code:1")
&amp;IF(P159="■",":tokusin_yakuzai_code:2",":tokusin_yakuzai_code:1"))</f>
        <v>25:tokusin_jyusho_code:0:tokusin_yakuzai_code:0</v>
      </c>
    </row>
    <row r="160" spans="1:36" ht="18.75" customHeight="1" x14ac:dyDescent="0.15">
      <c r="A160" s="107"/>
      <c r="B160" s="108"/>
      <c r="C160" s="109"/>
      <c r="D160" s="110"/>
      <c r="E160" s="111"/>
      <c r="F160" s="112"/>
      <c r="G160" s="111"/>
      <c r="H160" s="230" t="s">
        <v>428</v>
      </c>
      <c r="I160" s="194" t="s">
        <v>348</v>
      </c>
      <c r="J160" s="149" t="s">
        <v>216</v>
      </c>
      <c r="K160" s="150"/>
      <c r="L160" s="152" t="s">
        <v>348</v>
      </c>
      <c r="M160" s="149" t="s">
        <v>232</v>
      </c>
      <c r="N160" s="196"/>
      <c r="O160" s="196"/>
      <c r="P160" s="196"/>
      <c r="Q160" s="196"/>
      <c r="R160" s="196"/>
      <c r="S160" s="196"/>
      <c r="T160" s="196"/>
      <c r="U160" s="196"/>
      <c r="V160" s="196"/>
      <c r="W160" s="196"/>
      <c r="X160" s="197"/>
      <c r="Y160" s="147"/>
      <c r="Z160" s="105"/>
      <c r="AA160" s="105"/>
      <c r="AB160" s="106"/>
      <c r="AC160" s="406"/>
      <c r="AD160" s="407"/>
      <c r="AE160" s="407"/>
      <c r="AF160" s="408"/>
      <c r="AI160" s="119" t="str">
        <f>"25:field198:" &amp; IF(I160="■",1,IF(L160="■",2,0))</f>
        <v>25:field198:0</v>
      </c>
    </row>
    <row r="161" spans="1:36" ht="18.75" customHeight="1" x14ac:dyDescent="0.15">
      <c r="A161" s="107"/>
      <c r="B161" s="108"/>
      <c r="C161" s="109"/>
      <c r="D161" s="110"/>
      <c r="E161" s="111"/>
      <c r="F161" s="112"/>
      <c r="G161" s="111"/>
      <c r="H161" s="230" t="s">
        <v>159</v>
      </c>
      <c r="I161" s="194" t="s">
        <v>348</v>
      </c>
      <c r="J161" s="149" t="s">
        <v>216</v>
      </c>
      <c r="K161" s="150"/>
      <c r="L161" s="152" t="s">
        <v>348</v>
      </c>
      <c r="M161" s="149" t="s">
        <v>232</v>
      </c>
      <c r="N161" s="196"/>
      <c r="O161" s="196"/>
      <c r="P161" s="196"/>
      <c r="Q161" s="196"/>
      <c r="R161" s="196"/>
      <c r="S161" s="196"/>
      <c r="T161" s="196"/>
      <c r="U161" s="196"/>
      <c r="V161" s="196"/>
      <c r="W161" s="196"/>
      <c r="X161" s="197"/>
      <c r="Y161" s="147"/>
      <c r="Z161" s="105"/>
      <c r="AA161" s="105"/>
      <c r="AB161" s="106"/>
      <c r="AC161" s="406"/>
      <c r="AD161" s="407"/>
      <c r="AE161" s="407"/>
      <c r="AF161" s="408"/>
      <c r="AI161" s="119" t="str">
        <f>"25:field199:" &amp; IF(I161="■",1,IF(L161="■",2,0))</f>
        <v>25:field199:0</v>
      </c>
    </row>
    <row r="162" spans="1:36" ht="19.5" customHeight="1" x14ac:dyDescent="0.15">
      <c r="A162" s="107"/>
      <c r="B162" s="108"/>
      <c r="C162" s="109"/>
      <c r="D162" s="110"/>
      <c r="E162" s="111"/>
      <c r="F162" s="112"/>
      <c r="G162" s="113"/>
      <c r="H162" s="114" t="s">
        <v>372</v>
      </c>
      <c r="I162" s="194" t="s">
        <v>348</v>
      </c>
      <c r="J162" s="149" t="s">
        <v>216</v>
      </c>
      <c r="K162" s="149"/>
      <c r="L162" s="152" t="s">
        <v>348</v>
      </c>
      <c r="M162" s="149" t="s">
        <v>232</v>
      </c>
      <c r="N162" s="149"/>
      <c r="O162" s="154"/>
      <c r="P162" s="149"/>
      <c r="Q162" s="154"/>
      <c r="R162" s="154"/>
      <c r="S162" s="154"/>
      <c r="T162" s="154"/>
      <c r="U162" s="154"/>
      <c r="V162" s="154"/>
      <c r="W162" s="154"/>
      <c r="X162" s="155"/>
      <c r="Y162" s="105"/>
      <c r="Z162" s="105"/>
      <c r="AA162" s="105"/>
      <c r="AB162" s="106"/>
      <c r="AC162" s="406"/>
      <c r="AD162" s="407"/>
      <c r="AE162" s="407"/>
      <c r="AF162" s="408"/>
      <c r="AI162" s="119" t="str">
        <f>"25:field224:" &amp; IF(I162="■",1,IF(L162="■",2,0))</f>
        <v>25:field224:0</v>
      </c>
    </row>
    <row r="163" spans="1:36" ht="18.75" customHeight="1" x14ac:dyDescent="0.15">
      <c r="A163" s="107"/>
      <c r="B163" s="108"/>
      <c r="C163" s="109"/>
      <c r="D163" s="110"/>
      <c r="E163" s="111"/>
      <c r="F163" s="112"/>
      <c r="G163" s="111"/>
      <c r="H163" s="230" t="s">
        <v>106</v>
      </c>
      <c r="I163" s="194" t="s">
        <v>348</v>
      </c>
      <c r="J163" s="149" t="s">
        <v>216</v>
      </c>
      <c r="K163" s="150"/>
      <c r="L163" s="152" t="s">
        <v>348</v>
      </c>
      <c r="M163" s="149" t="s">
        <v>232</v>
      </c>
      <c r="N163" s="196"/>
      <c r="O163" s="154"/>
      <c r="P163" s="154"/>
      <c r="Q163" s="154"/>
      <c r="R163" s="154"/>
      <c r="S163" s="154"/>
      <c r="T163" s="154"/>
      <c r="U163" s="154"/>
      <c r="V163" s="154"/>
      <c r="W163" s="154"/>
      <c r="X163" s="155"/>
      <c r="Y163" s="147"/>
      <c r="Z163" s="105"/>
      <c r="AA163" s="105"/>
      <c r="AB163" s="106"/>
      <c r="AC163" s="406"/>
      <c r="AD163" s="407"/>
      <c r="AE163" s="407"/>
      <c r="AF163" s="408"/>
      <c r="AI163" s="119" t="str">
        <f>"25:ryouyoushoku_code:" &amp; IF(I163="■",1,IF(L163="■",2,0))</f>
        <v>25:ryouyoushoku_code:0</v>
      </c>
    </row>
    <row r="164" spans="1:36" ht="18.75" customHeight="1" x14ac:dyDescent="0.15">
      <c r="A164" s="107"/>
      <c r="B164" s="108"/>
      <c r="C164" s="109"/>
      <c r="D164" s="110"/>
      <c r="E164" s="111"/>
      <c r="F164" s="112"/>
      <c r="G164" s="111"/>
      <c r="H164" s="230" t="s">
        <v>165</v>
      </c>
      <c r="I164" s="194" t="s">
        <v>348</v>
      </c>
      <c r="J164" s="149" t="s">
        <v>216</v>
      </c>
      <c r="K164" s="149"/>
      <c r="L164" s="152" t="s">
        <v>348</v>
      </c>
      <c r="M164" s="149" t="s">
        <v>217</v>
      </c>
      <c r="N164" s="149"/>
      <c r="O164" s="152" t="s">
        <v>348</v>
      </c>
      <c r="P164" s="149" t="s">
        <v>218</v>
      </c>
      <c r="Q164" s="154"/>
      <c r="R164" s="154"/>
      <c r="S164" s="154"/>
      <c r="T164" s="154"/>
      <c r="U164" s="154"/>
      <c r="V164" s="154"/>
      <c r="W164" s="154"/>
      <c r="X164" s="155"/>
      <c r="Y164" s="147"/>
      <c r="Z164" s="105"/>
      <c r="AA164" s="105"/>
      <c r="AB164" s="106"/>
      <c r="AC164" s="406"/>
      <c r="AD164" s="407"/>
      <c r="AE164" s="407"/>
      <c r="AF164" s="408"/>
      <c r="AI164" s="119" t="str">
        <f>"25:ninti_senmoncare_code:" &amp; IF(I164="■",1,IF(O164="■",3,IF(L164="■",2,0)))</f>
        <v>25:ninti_senmoncare_code:0</v>
      </c>
    </row>
    <row r="165" spans="1:36" ht="18.75" customHeight="1" x14ac:dyDescent="0.15">
      <c r="A165" s="107"/>
      <c r="B165" s="108"/>
      <c r="C165" s="109"/>
      <c r="D165" s="110"/>
      <c r="E165" s="111"/>
      <c r="F165" s="112"/>
      <c r="G165" s="111"/>
      <c r="H165" s="230" t="s">
        <v>107</v>
      </c>
      <c r="I165" s="194" t="s">
        <v>348</v>
      </c>
      <c r="J165" s="149" t="s">
        <v>282</v>
      </c>
      <c r="K165" s="149"/>
      <c r="L165" s="151"/>
      <c r="M165" s="151"/>
      <c r="N165" s="152" t="s">
        <v>348</v>
      </c>
      <c r="O165" s="149" t="s">
        <v>283</v>
      </c>
      <c r="P165" s="154"/>
      <c r="Q165" s="154"/>
      <c r="R165" s="154"/>
      <c r="S165" s="152" t="s">
        <v>348</v>
      </c>
      <c r="T165" s="149" t="s">
        <v>284</v>
      </c>
      <c r="U165" s="154"/>
      <c r="V165" s="154"/>
      <c r="W165" s="154"/>
      <c r="X165" s="155"/>
      <c r="Y165" s="147"/>
      <c r="Z165" s="105"/>
      <c r="AA165" s="105"/>
      <c r="AB165" s="106"/>
      <c r="AC165" s="406"/>
      <c r="AD165" s="407"/>
      <c r="AE165" s="407"/>
      <c r="AF165" s="408"/>
      <c r="AI165" s="119" t="str">
        <f>"25:"&amp;IF(AND(I165="□",N165="□",S165="□"),"koriha_gengo_code:0:riha_seisin_code:0:koriha_other_code:0",IF(I165="■","koriha_gengo_code:2","koriha_gengo_code:1")
&amp;IF(N165="■",":riha_seisin_code:2",":riha_seisin_code:1")
&amp;IF(S165="■",":koriha_other_code:2",":koriha_other_code:1"))</f>
        <v>25:koriha_gengo_code:0:riha_seisin_code:0:koriha_other_code:0</v>
      </c>
    </row>
    <row r="166" spans="1:36" ht="18.75" customHeight="1" x14ac:dyDescent="0.15">
      <c r="A166" s="107"/>
      <c r="B166" s="108"/>
      <c r="C166" s="109"/>
      <c r="D166" s="110"/>
      <c r="E166" s="111"/>
      <c r="F166" s="112"/>
      <c r="G166" s="111"/>
      <c r="H166" s="240" t="s">
        <v>385</v>
      </c>
      <c r="I166" s="194" t="s">
        <v>348</v>
      </c>
      <c r="J166" s="149" t="s">
        <v>216</v>
      </c>
      <c r="K166" s="149"/>
      <c r="L166" s="152" t="s">
        <v>348</v>
      </c>
      <c r="M166" s="149" t="s">
        <v>217</v>
      </c>
      <c r="N166" s="149"/>
      <c r="O166" s="152" t="s">
        <v>348</v>
      </c>
      <c r="P166" s="149" t="s">
        <v>218</v>
      </c>
      <c r="Q166" s="154"/>
      <c r="R166" s="154"/>
      <c r="S166" s="154"/>
      <c r="T166" s="154"/>
      <c r="U166" s="241"/>
      <c r="V166" s="241"/>
      <c r="W166" s="241"/>
      <c r="X166" s="242"/>
      <c r="Y166" s="147"/>
      <c r="Z166" s="105"/>
      <c r="AA166" s="105"/>
      <c r="AB166" s="106"/>
      <c r="AC166" s="406"/>
      <c r="AD166" s="407"/>
      <c r="AE166" s="407"/>
      <c r="AF166" s="408"/>
      <c r="AI166" s="119" t="str">
        <f>"25:field225:" &amp; IF(I166="■",1,IF(L166="■",2,IF(O166="■",3,0)))</f>
        <v>25:field225:0</v>
      </c>
    </row>
    <row r="167" spans="1:36" ht="18.75" customHeight="1" x14ac:dyDescent="0.15">
      <c r="A167" s="107"/>
      <c r="B167" s="108"/>
      <c r="C167" s="109"/>
      <c r="D167" s="110"/>
      <c r="E167" s="111"/>
      <c r="F167" s="112"/>
      <c r="G167" s="111"/>
      <c r="H167" s="230" t="s">
        <v>111</v>
      </c>
      <c r="I167" s="194" t="s">
        <v>348</v>
      </c>
      <c r="J167" s="149" t="s">
        <v>216</v>
      </c>
      <c r="K167" s="149"/>
      <c r="L167" s="152" t="s">
        <v>348</v>
      </c>
      <c r="M167" s="149" t="s">
        <v>224</v>
      </c>
      <c r="N167" s="149"/>
      <c r="O167" s="152" t="s">
        <v>348</v>
      </c>
      <c r="P167" s="149" t="s">
        <v>225</v>
      </c>
      <c r="Q167" s="196"/>
      <c r="R167" s="152" t="s">
        <v>348</v>
      </c>
      <c r="S167" s="149" t="s">
        <v>248</v>
      </c>
      <c r="T167" s="149"/>
      <c r="U167" s="149"/>
      <c r="V167" s="149"/>
      <c r="W167" s="149"/>
      <c r="X167" s="158"/>
      <c r="Y167" s="147"/>
      <c r="Z167" s="105"/>
      <c r="AA167" s="105"/>
      <c r="AB167" s="106"/>
      <c r="AC167" s="406"/>
      <c r="AD167" s="407"/>
      <c r="AE167" s="407"/>
      <c r="AF167" s="408"/>
      <c r="AI167" s="119" t="str">
        <f>"25:serteikyo_kyoka_code:" &amp; IF(I167="■",1,IF(L167="■",6,IF(O167="■",5,IF(R167="■",7,0))))</f>
        <v>25:serteikyo_kyoka_code:0</v>
      </c>
    </row>
    <row r="168" spans="1:36" ht="18.75" customHeight="1" x14ac:dyDescent="0.15">
      <c r="A168" s="107"/>
      <c r="B168" s="108"/>
      <c r="C168" s="109"/>
      <c r="D168" s="110"/>
      <c r="E168" s="111"/>
      <c r="F168" s="112"/>
      <c r="G168" s="111"/>
      <c r="H168" s="329" t="s">
        <v>409</v>
      </c>
      <c r="I168" s="360" t="s">
        <v>348</v>
      </c>
      <c r="J168" s="359" t="s">
        <v>216</v>
      </c>
      <c r="K168" s="359"/>
      <c r="L168" s="360" t="s">
        <v>348</v>
      </c>
      <c r="M168" s="359" t="s">
        <v>232</v>
      </c>
      <c r="N168" s="359"/>
      <c r="O168" s="160"/>
      <c r="P168" s="160"/>
      <c r="Q168" s="160"/>
      <c r="R168" s="160"/>
      <c r="S168" s="160"/>
      <c r="T168" s="160"/>
      <c r="U168" s="160"/>
      <c r="V168" s="160"/>
      <c r="W168" s="160"/>
      <c r="X168" s="163"/>
      <c r="Y168" s="147"/>
      <c r="Z168" s="105"/>
      <c r="AA168" s="105"/>
      <c r="AB168" s="106"/>
      <c r="AC168" s="406"/>
      <c r="AD168" s="407"/>
      <c r="AE168" s="407"/>
      <c r="AF168" s="408"/>
      <c r="AI168" s="119" t="str">
        <f>"25:field221:" &amp; IF(I168="■",1,IF(L168="■",2,0))</f>
        <v>25:field221:0</v>
      </c>
    </row>
    <row r="169" spans="1:36" ht="18.75" customHeight="1" x14ac:dyDescent="0.15">
      <c r="A169" s="107"/>
      <c r="B169" s="108"/>
      <c r="C169" s="109"/>
      <c r="D169" s="110"/>
      <c r="E169" s="111"/>
      <c r="F169" s="112"/>
      <c r="G169" s="111"/>
      <c r="H169" s="328"/>
      <c r="I169" s="360"/>
      <c r="J169" s="359"/>
      <c r="K169" s="359"/>
      <c r="L169" s="360"/>
      <c r="M169" s="359"/>
      <c r="N169" s="359"/>
      <c r="O169" s="115"/>
      <c r="P169" s="115"/>
      <c r="Q169" s="115"/>
      <c r="R169" s="115"/>
      <c r="S169" s="115"/>
      <c r="T169" s="115"/>
      <c r="U169" s="115"/>
      <c r="V169" s="115"/>
      <c r="W169" s="115"/>
      <c r="X169" s="161"/>
      <c r="Y169" s="147"/>
      <c r="Z169" s="105"/>
      <c r="AA169" s="105"/>
      <c r="AB169" s="106"/>
      <c r="AC169" s="406"/>
      <c r="AD169" s="407"/>
      <c r="AE169" s="407"/>
      <c r="AF169" s="408"/>
    </row>
    <row r="170" spans="1:36" ht="18.75" customHeight="1" x14ac:dyDescent="0.15">
      <c r="A170" s="170"/>
      <c r="B170" s="171"/>
      <c r="C170" s="172"/>
      <c r="D170" s="173"/>
      <c r="E170" s="174"/>
      <c r="F170" s="175"/>
      <c r="G170" s="176"/>
      <c r="H170" s="95" t="s">
        <v>405</v>
      </c>
      <c r="I170" s="177" t="s">
        <v>348</v>
      </c>
      <c r="J170" s="96" t="s">
        <v>216</v>
      </c>
      <c r="K170" s="96"/>
      <c r="L170" s="178" t="s">
        <v>348</v>
      </c>
      <c r="M170" s="96" t="s">
        <v>373</v>
      </c>
      <c r="N170" s="97"/>
      <c r="O170" s="178" t="s">
        <v>348</v>
      </c>
      <c r="P170" s="99" t="s">
        <v>374</v>
      </c>
      <c r="Q170" s="98"/>
      <c r="R170" s="178" t="s">
        <v>348</v>
      </c>
      <c r="S170" s="96" t="s">
        <v>375</v>
      </c>
      <c r="T170" s="98"/>
      <c r="U170" s="178" t="s">
        <v>348</v>
      </c>
      <c r="V170" s="96" t="s">
        <v>376</v>
      </c>
      <c r="W170" s="100"/>
      <c r="X170" s="101"/>
      <c r="Y170" s="179"/>
      <c r="Z170" s="179"/>
      <c r="AA170" s="179"/>
      <c r="AB170" s="180"/>
      <c r="AC170" s="409"/>
      <c r="AD170" s="410"/>
      <c r="AE170" s="410"/>
      <c r="AF170" s="411"/>
      <c r="AG170" s="119"/>
      <c r="AH170" s="119"/>
      <c r="AI170" s="119" t="str">
        <f>"25:shoguukaizen_code:"&amp;IF(I170="■",1,IF(L170="■",7,IF(O170="■",8,IF(R170="■",9,IF(U170="■","A",0)))))</f>
        <v>25:shoguukaizen_code:0</v>
      </c>
    </row>
    <row r="171" spans="1:36" ht="18.75" customHeight="1" x14ac:dyDescent="0.15">
      <c r="A171" s="130"/>
      <c r="B171" s="131"/>
      <c r="C171" s="132"/>
      <c r="D171" s="133"/>
      <c r="E171" s="126"/>
      <c r="F171" s="134"/>
      <c r="G171" s="126"/>
      <c r="H171" s="214" t="s">
        <v>96</v>
      </c>
      <c r="I171" s="194" t="s">
        <v>348</v>
      </c>
      <c r="J171" s="184" t="s">
        <v>265</v>
      </c>
      <c r="K171" s="185"/>
      <c r="L171" s="186"/>
      <c r="M171" s="187" t="s">
        <v>348</v>
      </c>
      <c r="N171" s="184" t="s">
        <v>266</v>
      </c>
      <c r="O171" s="222"/>
      <c r="P171" s="185"/>
      <c r="Q171" s="185"/>
      <c r="R171" s="185"/>
      <c r="S171" s="185"/>
      <c r="T171" s="185"/>
      <c r="U171" s="185"/>
      <c r="V171" s="185"/>
      <c r="W171" s="185"/>
      <c r="X171" s="250"/>
      <c r="Y171" s="136" t="s">
        <v>348</v>
      </c>
      <c r="Z171" s="124" t="s">
        <v>215</v>
      </c>
      <c r="AA171" s="124"/>
      <c r="AB171" s="139"/>
      <c r="AC171" s="403"/>
      <c r="AD171" s="404"/>
      <c r="AE171" s="404"/>
      <c r="AF171" s="405"/>
      <c r="AG171" s="119" t="str">
        <f>"ser_code = '" &amp; IF(A180="■",25,"") &amp; "'"</f>
        <v>ser_code = ''</v>
      </c>
      <c r="AH171" s="119"/>
      <c r="AI171" s="119" t="str">
        <f>"25:yakan_kinmu_code:" &amp; IF(I171="■",1,IF(M171="■",6,0))</f>
        <v>25:yakan_kinmu_code:0</v>
      </c>
      <c r="AJ171" s="119" t="str">
        <f>"25:field203:" &amp; IF(Y171="■",1,IF(Y172="■",2,0))</f>
        <v>25:field203:0</v>
      </c>
    </row>
    <row r="172" spans="1:36" ht="18.75" customHeight="1" x14ac:dyDescent="0.15">
      <c r="A172" s="107"/>
      <c r="B172" s="108"/>
      <c r="C172" s="109"/>
      <c r="D172" s="110"/>
      <c r="E172" s="111"/>
      <c r="F172" s="112"/>
      <c r="G172" s="111"/>
      <c r="H172" s="370" t="s">
        <v>92</v>
      </c>
      <c r="I172" s="194" t="s">
        <v>348</v>
      </c>
      <c r="J172" s="104" t="s">
        <v>216</v>
      </c>
      <c r="K172" s="104"/>
      <c r="L172" s="212"/>
      <c r="M172" s="123" t="s">
        <v>348</v>
      </c>
      <c r="N172" s="104" t="s">
        <v>254</v>
      </c>
      <c r="O172" s="104"/>
      <c r="P172" s="212"/>
      <c r="Q172" s="123" t="s">
        <v>348</v>
      </c>
      <c r="R172" s="103" t="s">
        <v>255</v>
      </c>
      <c r="U172" s="123" t="s">
        <v>348</v>
      </c>
      <c r="V172" s="103" t="s">
        <v>256</v>
      </c>
      <c r="X172" s="165"/>
      <c r="Y172" s="123" t="s">
        <v>348</v>
      </c>
      <c r="Z172" s="104" t="s">
        <v>221</v>
      </c>
      <c r="AA172" s="105"/>
      <c r="AB172" s="106"/>
      <c r="AC172" s="406"/>
      <c r="AD172" s="407"/>
      <c r="AE172" s="407"/>
      <c r="AF172" s="408"/>
      <c r="AG172" s="119" t="str">
        <f>"25:sisetukbn_code:" &amp; IF(D180="■",9,0)</f>
        <v>25:sisetukbn_code:0</v>
      </c>
      <c r="AH172" s="119"/>
      <c r="AI172" s="119" t="str">
        <f>"25:"&amp;IF(AND(I172="□",M172="□",Q172="□",U172="□",I173="□",M173="□",Q173="□"),"ketu_doctor_code:0",IF(I172="■","ketu_doctor_code:1:ketu_kangos_code:1:ketu_kshoku_code:1:ketu_rryoho_code:1:ketu_sryoho_code:1:ketu_gengo_code:1",
IF(M172="■","ketu_doctor_code:2","ketu_doctor_code:1")
&amp;IF(Q172="■",":ketu_kangos_code:2",":ketu_kangos_code:1")
&amp;IF(U172="■",":ketu_kshoku_code:2",":ketu_kshoku_code:1")
&amp;IF(I173="■",":ketu_rryoho_code:2",":ketu_rryoho_code:1")
&amp;IF(M173="■",":ketu_sryoho_code:2",":ketu_sryoho_code:1")
&amp;IF(Q173="■",":ketu_gengo_code:2",":ketu_gengo_code:1")))</f>
        <v>25:ketu_doctor_code:0</v>
      </c>
      <c r="AJ172" s="119"/>
    </row>
    <row r="173" spans="1:36" ht="18.75" customHeight="1" x14ac:dyDescent="0.15">
      <c r="A173" s="107"/>
      <c r="B173" s="108"/>
      <c r="C173" s="109"/>
      <c r="D173" s="110"/>
      <c r="E173" s="111"/>
      <c r="F173" s="112"/>
      <c r="G173" s="111"/>
      <c r="H173" s="371"/>
      <c r="I173" s="128" t="s">
        <v>348</v>
      </c>
      <c r="J173" s="115" t="s">
        <v>257</v>
      </c>
      <c r="K173" s="144"/>
      <c r="L173" s="144"/>
      <c r="M173" s="191" t="s">
        <v>348</v>
      </c>
      <c r="N173" s="115" t="s">
        <v>258</v>
      </c>
      <c r="O173" s="144"/>
      <c r="P173" s="144"/>
      <c r="Q173" s="191" t="s">
        <v>348</v>
      </c>
      <c r="R173" s="115" t="s">
        <v>259</v>
      </c>
      <c r="S173" s="144"/>
      <c r="T173" s="144"/>
      <c r="U173" s="144"/>
      <c r="V173" s="144"/>
      <c r="W173" s="144"/>
      <c r="X173" s="226"/>
      <c r="Y173" s="147"/>
      <c r="Z173" s="105"/>
      <c r="AA173" s="105"/>
      <c r="AB173" s="106"/>
      <c r="AC173" s="406"/>
      <c r="AD173" s="407"/>
      <c r="AE173" s="407"/>
      <c r="AF173" s="408"/>
    </row>
    <row r="174" spans="1:36" ht="18.75" customHeight="1" x14ac:dyDescent="0.15">
      <c r="A174" s="107"/>
      <c r="B174" s="108"/>
      <c r="C174" s="109"/>
      <c r="D174" s="110"/>
      <c r="E174" s="111"/>
      <c r="F174" s="112"/>
      <c r="G174" s="111"/>
      <c r="H174" s="230" t="s">
        <v>97</v>
      </c>
      <c r="I174" s="194" t="s">
        <v>348</v>
      </c>
      <c r="J174" s="149" t="s">
        <v>230</v>
      </c>
      <c r="K174" s="150"/>
      <c r="L174" s="151"/>
      <c r="M174" s="152" t="s">
        <v>348</v>
      </c>
      <c r="N174" s="149" t="s">
        <v>231</v>
      </c>
      <c r="O174" s="154"/>
      <c r="P174" s="150"/>
      <c r="Q174" s="154"/>
      <c r="R174" s="154"/>
      <c r="S174" s="154"/>
      <c r="T174" s="154"/>
      <c r="U174" s="154"/>
      <c r="V174" s="154"/>
      <c r="W174" s="154"/>
      <c r="X174" s="155"/>
      <c r="Y174" s="147"/>
      <c r="Z174" s="105"/>
      <c r="AA174" s="105"/>
      <c r="AB174" s="106"/>
      <c r="AC174" s="406"/>
      <c r="AD174" s="407"/>
      <c r="AE174" s="407"/>
      <c r="AF174" s="408"/>
      <c r="AI174" s="119" t="str">
        <f>"25:unitcare_code:" &amp; IF(I174="■",1,IF(M174="■",2,0))</f>
        <v>25:unitcare_code:0</v>
      </c>
    </row>
    <row r="175" spans="1:36" s="119" customFormat="1" ht="18.75" customHeight="1" x14ac:dyDescent="0.15">
      <c r="A175" s="107"/>
      <c r="B175" s="108"/>
      <c r="C175" s="238"/>
      <c r="D175" s="239"/>
      <c r="E175" s="111"/>
      <c r="F175" s="112"/>
      <c r="G175" s="113"/>
      <c r="H175" s="230" t="s">
        <v>103</v>
      </c>
      <c r="I175" s="148" t="s">
        <v>348</v>
      </c>
      <c r="J175" s="149" t="s">
        <v>360</v>
      </c>
      <c r="K175" s="150"/>
      <c r="L175" s="151"/>
      <c r="M175" s="152" t="s">
        <v>348</v>
      </c>
      <c r="N175" s="149" t="s">
        <v>361</v>
      </c>
      <c r="O175" s="150"/>
      <c r="P175" s="150"/>
      <c r="Q175" s="150"/>
      <c r="R175" s="150"/>
      <c r="S175" s="150"/>
      <c r="T175" s="150"/>
      <c r="U175" s="150"/>
      <c r="V175" s="150"/>
      <c r="W175" s="150"/>
      <c r="X175" s="159"/>
      <c r="Y175" s="147"/>
      <c r="Z175" s="105"/>
      <c r="AA175" s="105"/>
      <c r="AB175" s="106"/>
      <c r="AC175" s="406"/>
      <c r="AD175" s="407"/>
      <c r="AE175" s="407"/>
      <c r="AF175" s="408"/>
      <c r="AI175" s="119" t="str">
        <f>"25:sintaikousoku_code:" &amp; IF(I175="■",1,IF(M175="■",2,0))</f>
        <v>25:sintaikousoku_code:0</v>
      </c>
    </row>
    <row r="176" spans="1:36" ht="19.5" customHeight="1" x14ac:dyDescent="0.15">
      <c r="A176" s="107"/>
      <c r="B176" s="108"/>
      <c r="C176" s="109"/>
      <c r="D176" s="110"/>
      <c r="E176" s="111"/>
      <c r="F176" s="112"/>
      <c r="G176" s="113"/>
      <c r="H176" s="114" t="s">
        <v>369</v>
      </c>
      <c r="I176" s="194" t="s">
        <v>348</v>
      </c>
      <c r="J176" s="149" t="s">
        <v>360</v>
      </c>
      <c r="K176" s="150"/>
      <c r="L176" s="151"/>
      <c r="M176" s="152" t="s">
        <v>348</v>
      </c>
      <c r="N176" s="149" t="s">
        <v>370</v>
      </c>
      <c r="O176" s="149"/>
      <c r="P176" s="149"/>
      <c r="Q176" s="154"/>
      <c r="R176" s="154"/>
      <c r="S176" s="154"/>
      <c r="T176" s="154"/>
      <c r="U176" s="154"/>
      <c r="V176" s="154"/>
      <c r="W176" s="154"/>
      <c r="X176" s="155"/>
      <c r="Y176" s="105"/>
      <c r="Z176" s="105"/>
      <c r="AA176" s="105"/>
      <c r="AB176" s="106"/>
      <c r="AC176" s="406"/>
      <c r="AD176" s="407"/>
      <c r="AE176" s="407"/>
      <c r="AF176" s="408"/>
      <c r="AI176" s="119" t="str">
        <f>"25:field223:" &amp; IF(I176="■",1,IF(M176="■",2,0))</f>
        <v>25:field223:0</v>
      </c>
    </row>
    <row r="177" spans="1:36" ht="19.5" customHeight="1" x14ac:dyDescent="0.15">
      <c r="A177" s="107"/>
      <c r="B177" s="108"/>
      <c r="C177" s="109"/>
      <c r="D177" s="110"/>
      <c r="E177" s="111"/>
      <c r="F177" s="112"/>
      <c r="G177" s="113"/>
      <c r="H177" s="114" t="s">
        <v>390</v>
      </c>
      <c r="I177" s="194" t="s">
        <v>348</v>
      </c>
      <c r="J177" s="115" t="s">
        <v>360</v>
      </c>
      <c r="K177" s="166"/>
      <c r="L177" s="116"/>
      <c r="M177" s="191" t="s">
        <v>348</v>
      </c>
      <c r="N177" s="115" t="s">
        <v>370</v>
      </c>
      <c r="O177" s="115"/>
      <c r="P177" s="115"/>
      <c r="Q177" s="145"/>
      <c r="R177" s="145"/>
      <c r="S177" s="145"/>
      <c r="T177" s="145"/>
      <c r="U177" s="145"/>
      <c r="V177" s="145"/>
      <c r="W177" s="145"/>
      <c r="X177" s="146"/>
      <c r="Y177" s="105"/>
      <c r="Z177" s="104"/>
      <c r="AA177" s="105"/>
      <c r="AB177" s="106"/>
      <c r="AC177" s="406"/>
      <c r="AD177" s="407"/>
      <c r="AE177" s="407"/>
      <c r="AF177" s="408"/>
      <c r="AI177" s="119" t="str">
        <f>"25:field232:" &amp; IF(I177="■",1,IF(M177="■",2,0))</f>
        <v>25:field232:0</v>
      </c>
    </row>
    <row r="178" spans="1:36" ht="19.5" customHeight="1" x14ac:dyDescent="0.15">
      <c r="A178" s="107"/>
      <c r="B178" s="108"/>
      <c r="C178" s="109"/>
      <c r="D178" s="110"/>
      <c r="E178" s="111"/>
      <c r="F178" s="112"/>
      <c r="G178" s="113"/>
      <c r="H178" s="114" t="s">
        <v>455</v>
      </c>
      <c r="I178" s="148" t="s">
        <v>348</v>
      </c>
      <c r="J178" s="115" t="s">
        <v>453</v>
      </c>
      <c r="K178" s="166"/>
      <c r="L178" s="116"/>
      <c r="M178" s="152" t="s">
        <v>348</v>
      </c>
      <c r="N178" s="115" t="s">
        <v>454</v>
      </c>
      <c r="O178" s="236"/>
      <c r="P178" s="115"/>
      <c r="Q178" s="145"/>
      <c r="R178" s="145"/>
      <c r="S178" s="145"/>
      <c r="T178" s="145"/>
      <c r="U178" s="145"/>
      <c r="V178" s="145"/>
      <c r="W178" s="145"/>
      <c r="X178" s="146"/>
      <c r="Y178" s="162"/>
      <c r="Z178" s="104"/>
      <c r="AA178" s="105"/>
      <c r="AB178" s="106"/>
      <c r="AC178" s="406"/>
      <c r="AD178" s="407"/>
      <c r="AE178" s="407"/>
      <c r="AF178" s="408"/>
      <c r="AI178" s="119" t="str">
        <f>"25:field242:" &amp; IF(I178="■",1,IF(M178="■",2,0))</f>
        <v>25:field242:0</v>
      </c>
    </row>
    <row r="179" spans="1:36" ht="18.75" customHeight="1" x14ac:dyDescent="0.15">
      <c r="A179" s="107"/>
      <c r="B179" s="108"/>
      <c r="C179" s="109"/>
      <c r="D179" s="110"/>
      <c r="E179" s="111"/>
      <c r="F179" s="112"/>
      <c r="G179" s="111"/>
      <c r="H179" s="230" t="s">
        <v>105</v>
      </c>
      <c r="I179" s="194" t="s">
        <v>348</v>
      </c>
      <c r="J179" s="149" t="s">
        <v>216</v>
      </c>
      <c r="K179" s="150"/>
      <c r="L179" s="152" t="s">
        <v>348</v>
      </c>
      <c r="M179" s="149" t="s">
        <v>232</v>
      </c>
      <c r="N179" s="196"/>
      <c r="O179" s="154"/>
      <c r="P179" s="154"/>
      <c r="Q179" s="154"/>
      <c r="R179" s="154"/>
      <c r="S179" s="154"/>
      <c r="T179" s="154"/>
      <c r="U179" s="154"/>
      <c r="V179" s="154"/>
      <c r="W179" s="154"/>
      <c r="X179" s="155"/>
      <c r="Y179" s="147"/>
      <c r="Z179" s="105"/>
      <c r="AA179" s="105"/>
      <c r="AB179" s="106"/>
      <c r="AC179" s="406"/>
      <c r="AD179" s="407"/>
      <c r="AE179" s="407"/>
      <c r="AF179" s="408"/>
      <c r="AI179" s="119" t="str">
        <f>"25:yakinhaiti_code:" &amp; IF(I179="■",1,IF(L179="■",2,0))</f>
        <v>25:yakinhaiti_code:0</v>
      </c>
    </row>
    <row r="180" spans="1:36" ht="18.75" customHeight="1" x14ac:dyDescent="0.15">
      <c r="A180" s="128" t="s">
        <v>348</v>
      </c>
      <c r="B180" s="108">
        <v>25</v>
      </c>
      <c r="C180" s="109" t="s">
        <v>429</v>
      </c>
      <c r="D180" s="128" t="s">
        <v>348</v>
      </c>
      <c r="E180" s="111" t="s">
        <v>291</v>
      </c>
      <c r="F180" s="112"/>
      <c r="G180" s="111"/>
      <c r="H180" s="230" t="s">
        <v>424</v>
      </c>
      <c r="I180" s="194" t="s">
        <v>348</v>
      </c>
      <c r="J180" s="149" t="s">
        <v>216</v>
      </c>
      <c r="K180" s="150"/>
      <c r="L180" s="152" t="s">
        <v>348</v>
      </c>
      <c r="M180" s="149" t="s">
        <v>232</v>
      </c>
      <c r="N180" s="196"/>
      <c r="O180" s="154"/>
      <c r="P180" s="154"/>
      <c r="Q180" s="154"/>
      <c r="R180" s="154"/>
      <c r="S180" s="154"/>
      <c r="T180" s="154"/>
      <c r="U180" s="154"/>
      <c r="V180" s="154"/>
      <c r="W180" s="154"/>
      <c r="X180" s="155"/>
      <c r="Y180" s="147"/>
      <c r="Z180" s="105"/>
      <c r="AA180" s="105"/>
      <c r="AB180" s="106"/>
      <c r="AC180" s="406"/>
      <c r="AD180" s="407"/>
      <c r="AE180" s="407"/>
      <c r="AF180" s="408"/>
      <c r="AI180" s="119" t="str">
        <f>"25:jyakuninti_uke_code:" &amp; IF(I180="■",1,IF(L180="■",2,0))</f>
        <v>25:jyakuninti_uke_code:0</v>
      </c>
    </row>
    <row r="181" spans="1:36" ht="18.75" customHeight="1" x14ac:dyDescent="0.15">
      <c r="A181" s="107"/>
      <c r="B181" s="108"/>
      <c r="C181" s="109"/>
      <c r="D181" s="110"/>
      <c r="E181" s="111"/>
      <c r="F181" s="112"/>
      <c r="G181" s="111"/>
      <c r="H181" s="230" t="s">
        <v>94</v>
      </c>
      <c r="I181" s="194" t="s">
        <v>348</v>
      </c>
      <c r="J181" s="149" t="s">
        <v>230</v>
      </c>
      <c r="K181" s="150"/>
      <c r="L181" s="151"/>
      <c r="M181" s="152" t="s">
        <v>348</v>
      </c>
      <c r="N181" s="149" t="s">
        <v>231</v>
      </c>
      <c r="O181" s="154"/>
      <c r="P181" s="154"/>
      <c r="Q181" s="154"/>
      <c r="R181" s="154"/>
      <c r="S181" s="154"/>
      <c r="T181" s="154"/>
      <c r="U181" s="154"/>
      <c r="V181" s="154"/>
      <c r="W181" s="154"/>
      <c r="X181" s="155"/>
      <c r="Y181" s="147"/>
      <c r="Z181" s="105"/>
      <c r="AA181" s="105"/>
      <c r="AB181" s="106"/>
      <c r="AC181" s="406"/>
      <c r="AD181" s="407"/>
      <c r="AE181" s="407"/>
      <c r="AF181" s="408"/>
      <c r="AI181" s="119" t="str">
        <f>"25:sougei_code:" &amp; IF(I181="■",1,IF(M181="■",2,0))</f>
        <v>25:sougei_code:0</v>
      </c>
    </row>
    <row r="182" spans="1:36" ht="19.5" customHeight="1" x14ac:dyDescent="0.15">
      <c r="A182" s="107"/>
      <c r="B182" s="108"/>
      <c r="C182" s="109"/>
      <c r="D182" s="110"/>
      <c r="E182" s="111"/>
      <c r="F182" s="112"/>
      <c r="G182" s="113"/>
      <c r="H182" s="114" t="s">
        <v>372</v>
      </c>
      <c r="I182" s="194" t="s">
        <v>348</v>
      </c>
      <c r="J182" s="149" t="s">
        <v>216</v>
      </c>
      <c r="K182" s="149"/>
      <c r="L182" s="152" t="s">
        <v>348</v>
      </c>
      <c r="M182" s="149" t="s">
        <v>232</v>
      </c>
      <c r="N182" s="149"/>
      <c r="O182" s="154"/>
      <c r="P182" s="149"/>
      <c r="Q182" s="154"/>
      <c r="R182" s="154"/>
      <c r="S182" s="154"/>
      <c r="T182" s="154"/>
      <c r="U182" s="154"/>
      <c r="V182" s="154"/>
      <c r="W182" s="154"/>
      <c r="X182" s="155"/>
      <c r="Y182" s="105"/>
      <c r="Z182" s="105"/>
      <c r="AA182" s="105"/>
      <c r="AB182" s="106"/>
      <c r="AC182" s="406"/>
      <c r="AD182" s="407"/>
      <c r="AE182" s="407"/>
      <c r="AF182" s="408"/>
      <c r="AI182" s="119" t="str">
        <f>"25:field224:" &amp; IF(I182="■",1,IF(L182="■",2,0))</f>
        <v>25:field224:0</v>
      </c>
    </row>
    <row r="183" spans="1:36" ht="18.75" customHeight="1" x14ac:dyDescent="0.15">
      <c r="A183" s="107"/>
      <c r="B183" s="108"/>
      <c r="C183" s="109"/>
      <c r="D183" s="110"/>
      <c r="E183" s="111"/>
      <c r="F183" s="112"/>
      <c r="G183" s="111"/>
      <c r="H183" s="230" t="s">
        <v>106</v>
      </c>
      <c r="I183" s="194" t="s">
        <v>348</v>
      </c>
      <c r="J183" s="149" t="s">
        <v>216</v>
      </c>
      <c r="K183" s="150"/>
      <c r="L183" s="152" t="s">
        <v>348</v>
      </c>
      <c r="M183" s="149" t="s">
        <v>232</v>
      </c>
      <c r="N183" s="196"/>
      <c r="O183" s="154"/>
      <c r="P183" s="154"/>
      <c r="Q183" s="154"/>
      <c r="R183" s="154"/>
      <c r="S183" s="154"/>
      <c r="T183" s="154"/>
      <c r="U183" s="154"/>
      <c r="V183" s="154"/>
      <c r="W183" s="154"/>
      <c r="X183" s="155"/>
      <c r="Y183" s="147"/>
      <c r="Z183" s="105"/>
      <c r="AA183" s="105"/>
      <c r="AB183" s="106"/>
      <c r="AC183" s="406"/>
      <c r="AD183" s="407"/>
      <c r="AE183" s="407"/>
      <c r="AF183" s="408"/>
      <c r="AI183" s="119" t="str">
        <f>"25:ryouyoushoku_code:" &amp; IF(I183="■",1,IF(L183="■",2,0))</f>
        <v>25:ryouyoushoku_code:0</v>
      </c>
    </row>
    <row r="184" spans="1:36" ht="18.75" customHeight="1" x14ac:dyDescent="0.15">
      <c r="A184" s="107"/>
      <c r="B184" s="108"/>
      <c r="C184" s="109"/>
      <c r="D184" s="110"/>
      <c r="E184" s="111"/>
      <c r="F184" s="112"/>
      <c r="G184" s="111"/>
      <c r="H184" s="230" t="s">
        <v>165</v>
      </c>
      <c r="I184" s="194" t="s">
        <v>348</v>
      </c>
      <c r="J184" s="149" t="s">
        <v>216</v>
      </c>
      <c r="K184" s="149"/>
      <c r="L184" s="152" t="s">
        <v>348</v>
      </c>
      <c r="M184" s="149" t="s">
        <v>217</v>
      </c>
      <c r="N184" s="149"/>
      <c r="O184" s="152" t="s">
        <v>348</v>
      </c>
      <c r="P184" s="149" t="s">
        <v>218</v>
      </c>
      <c r="Q184" s="154"/>
      <c r="R184" s="154"/>
      <c r="S184" s="154"/>
      <c r="T184" s="154"/>
      <c r="U184" s="154"/>
      <c r="V184" s="154"/>
      <c r="W184" s="154"/>
      <c r="X184" s="155"/>
      <c r="Y184" s="147"/>
      <c r="Z184" s="105"/>
      <c r="AA184" s="105"/>
      <c r="AB184" s="106"/>
      <c r="AC184" s="406"/>
      <c r="AD184" s="407"/>
      <c r="AE184" s="407"/>
      <c r="AF184" s="408"/>
      <c r="AI184" s="119" t="str">
        <f>"25:ninti_senmoncare_code:" &amp; IF(I184="■",1,IF(O184="■",3,IF(L184="■",2,0)))</f>
        <v>25:ninti_senmoncare_code:0</v>
      </c>
    </row>
    <row r="185" spans="1:36" ht="18.75" customHeight="1" x14ac:dyDescent="0.15">
      <c r="A185" s="107"/>
      <c r="B185" s="108"/>
      <c r="C185" s="109"/>
      <c r="D185" s="110"/>
      <c r="E185" s="111"/>
      <c r="F185" s="112"/>
      <c r="G185" s="111"/>
      <c r="H185" s="240" t="s">
        <v>385</v>
      </c>
      <c r="I185" s="194" t="s">
        <v>348</v>
      </c>
      <c r="J185" s="149" t="s">
        <v>216</v>
      </c>
      <c r="K185" s="149"/>
      <c r="L185" s="152" t="s">
        <v>348</v>
      </c>
      <c r="M185" s="149" t="s">
        <v>217</v>
      </c>
      <c r="N185" s="149"/>
      <c r="O185" s="152" t="s">
        <v>348</v>
      </c>
      <c r="P185" s="149" t="s">
        <v>218</v>
      </c>
      <c r="Q185" s="154"/>
      <c r="R185" s="154"/>
      <c r="S185" s="154"/>
      <c r="T185" s="154"/>
      <c r="U185" s="241"/>
      <c r="V185" s="241"/>
      <c r="W185" s="241"/>
      <c r="X185" s="242"/>
      <c r="Y185" s="147"/>
      <c r="Z185" s="105"/>
      <c r="AA185" s="105"/>
      <c r="AB185" s="106"/>
      <c r="AC185" s="406"/>
      <c r="AD185" s="407"/>
      <c r="AE185" s="407"/>
      <c r="AF185" s="408"/>
      <c r="AI185" s="119" t="str">
        <f>"25:field225:" &amp; IF(I185="■",1,IF(L185="■",2,IF(O185="■",3,0)))</f>
        <v>25:field225:0</v>
      </c>
    </row>
    <row r="186" spans="1:36" ht="18.75" customHeight="1" x14ac:dyDescent="0.15">
      <c r="A186" s="107"/>
      <c r="B186" s="108"/>
      <c r="C186" s="109"/>
      <c r="D186" s="110"/>
      <c r="E186" s="111"/>
      <c r="F186" s="112"/>
      <c r="G186" s="111"/>
      <c r="H186" s="230" t="s">
        <v>111</v>
      </c>
      <c r="I186" s="194" t="s">
        <v>348</v>
      </c>
      <c r="J186" s="149" t="s">
        <v>216</v>
      </c>
      <c r="K186" s="149"/>
      <c r="L186" s="152" t="s">
        <v>348</v>
      </c>
      <c r="M186" s="149" t="s">
        <v>224</v>
      </c>
      <c r="N186" s="149"/>
      <c r="O186" s="152" t="s">
        <v>348</v>
      </c>
      <c r="P186" s="149" t="s">
        <v>225</v>
      </c>
      <c r="Q186" s="196"/>
      <c r="R186" s="152" t="s">
        <v>348</v>
      </c>
      <c r="S186" s="149" t="s">
        <v>248</v>
      </c>
      <c r="T186" s="149"/>
      <c r="U186" s="196"/>
      <c r="V186" s="196"/>
      <c r="W186" s="196"/>
      <c r="X186" s="197"/>
      <c r="Y186" s="147"/>
      <c r="Z186" s="105"/>
      <c r="AA186" s="105"/>
      <c r="AB186" s="106"/>
      <c r="AC186" s="406"/>
      <c r="AD186" s="407"/>
      <c r="AE186" s="407"/>
      <c r="AF186" s="408"/>
      <c r="AI186" s="119" t="str">
        <f>"25:serteikyo_kyoka_code:" &amp; IF(I186="■",1,IF(L186="■",6,IF(O186="■",5,IF(R186="■",7,0))))</f>
        <v>25:serteikyo_kyoka_code:0</v>
      </c>
    </row>
    <row r="187" spans="1:36" ht="18.75" customHeight="1" x14ac:dyDescent="0.15">
      <c r="A187" s="107"/>
      <c r="B187" s="108"/>
      <c r="C187" s="109"/>
      <c r="D187" s="110"/>
      <c r="E187" s="111"/>
      <c r="F187" s="112"/>
      <c r="G187" s="111"/>
      <c r="H187" s="329" t="s">
        <v>409</v>
      </c>
      <c r="I187" s="360" t="s">
        <v>348</v>
      </c>
      <c r="J187" s="359" t="s">
        <v>216</v>
      </c>
      <c r="K187" s="359"/>
      <c r="L187" s="360" t="s">
        <v>348</v>
      </c>
      <c r="M187" s="359" t="s">
        <v>232</v>
      </c>
      <c r="N187" s="359"/>
      <c r="O187" s="160"/>
      <c r="P187" s="160"/>
      <c r="Q187" s="160"/>
      <c r="R187" s="160"/>
      <c r="S187" s="160"/>
      <c r="T187" s="160"/>
      <c r="U187" s="160"/>
      <c r="V187" s="160"/>
      <c r="W187" s="160"/>
      <c r="X187" s="163"/>
      <c r="Y187" s="147"/>
      <c r="Z187" s="105"/>
      <c r="AA187" s="105"/>
      <c r="AB187" s="106"/>
      <c r="AC187" s="406"/>
      <c r="AD187" s="407"/>
      <c r="AE187" s="407"/>
      <c r="AF187" s="408"/>
      <c r="AI187" s="119" t="str">
        <f>"25:field221:" &amp; IF(I187="■",1,IF(L187="■",2,0))</f>
        <v>25:field221:0</v>
      </c>
    </row>
    <row r="188" spans="1:36" ht="18.75" customHeight="1" x14ac:dyDescent="0.15">
      <c r="A188" s="107"/>
      <c r="B188" s="108"/>
      <c r="C188" s="109"/>
      <c r="D188" s="110"/>
      <c r="E188" s="111"/>
      <c r="F188" s="112"/>
      <c r="G188" s="111"/>
      <c r="H188" s="328"/>
      <c r="I188" s="360"/>
      <c r="J188" s="359"/>
      <c r="K188" s="359"/>
      <c r="L188" s="360"/>
      <c r="M188" s="359"/>
      <c r="N188" s="359"/>
      <c r="O188" s="115"/>
      <c r="P188" s="115"/>
      <c r="Q188" s="115"/>
      <c r="R188" s="115"/>
      <c r="S188" s="115"/>
      <c r="T188" s="115"/>
      <c r="U188" s="115"/>
      <c r="V188" s="115"/>
      <c r="W188" s="115"/>
      <c r="X188" s="161"/>
      <c r="Y188" s="147"/>
      <c r="Z188" s="105"/>
      <c r="AA188" s="105"/>
      <c r="AB188" s="106"/>
      <c r="AC188" s="406"/>
      <c r="AD188" s="407"/>
      <c r="AE188" s="407"/>
      <c r="AF188" s="408"/>
    </row>
    <row r="189" spans="1:36" ht="18.75" customHeight="1" x14ac:dyDescent="0.15">
      <c r="A189" s="170"/>
      <c r="B189" s="108"/>
      <c r="C189" s="172"/>
      <c r="D189" s="173"/>
      <c r="E189" s="174"/>
      <c r="F189" s="175"/>
      <c r="G189" s="176"/>
      <c r="H189" s="95" t="s">
        <v>405</v>
      </c>
      <c r="I189" s="194" t="s">
        <v>348</v>
      </c>
      <c r="J189" s="96" t="s">
        <v>216</v>
      </c>
      <c r="K189" s="96"/>
      <c r="L189" s="178" t="s">
        <v>348</v>
      </c>
      <c r="M189" s="96" t="s">
        <v>373</v>
      </c>
      <c r="N189" s="97"/>
      <c r="O189" s="178" t="s">
        <v>348</v>
      </c>
      <c r="P189" s="99" t="s">
        <v>374</v>
      </c>
      <c r="Q189" s="98"/>
      <c r="R189" s="178" t="s">
        <v>348</v>
      </c>
      <c r="S189" s="96" t="s">
        <v>375</v>
      </c>
      <c r="T189" s="98"/>
      <c r="U189" s="178" t="s">
        <v>348</v>
      </c>
      <c r="V189" s="96" t="s">
        <v>376</v>
      </c>
      <c r="W189" s="100"/>
      <c r="X189" s="101"/>
      <c r="Y189" s="179"/>
      <c r="Z189" s="179"/>
      <c r="AA189" s="179"/>
      <c r="AB189" s="180"/>
      <c r="AC189" s="409"/>
      <c r="AD189" s="410"/>
      <c r="AE189" s="410"/>
      <c r="AF189" s="411"/>
      <c r="AG189" s="119"/>
      <c r="AH189" s="119"/>
      <c r="AI189" s="119" t="str">
        <f>"25:shoguukaizen_code:"&amp;IF(I189="■",1,IF(L189="■",7,IF(O189="■",8,IF(R189="■",9,IF(U189="■","A",0)))))</f>
        <v>25:shoguukaizen_code:0</v>
      </c>
    </row>
    <row r="190" spans="1:36" ht="18.75" customHeight="1" x14ac:dyDescent="0.15">
      <c r="A190" s="130"/>
      <c r="B190" s="131"/>
      <c r="C190" s="132"/>
      <c r="D190" s="133"/>
      <c r="E190" s="126"/>
      <c r="F190" s="134"/>
      <c r="G190" s="126"/>
      <c r="H190" s="214" t="s">
        <v>96</v>
      </c>
      <c r="I190" s="194" t="s">
        <v>348</v>
      </c>
      <c r="J190" s="184" t="s">
        <v>265</v>
      </c>
      <c r="K190" s="185"/>
      <c r="L190" s="186"/>
      <c r="M190" s="187" t="s">
        <v>348</v>
      </c>
      <c r="N190" s="184" t="s">
        <v>266</v>
      </c>
      <c r="O190" s="222"/>
      <c r="P190" s="185"/>
      <c r="Q190" s="185"/>
      <c r="R190" s="185"/>
      <c r="S190" s="185"/>
      <c r="T190" s="185"/>
      <c r="U190" s="185"/>
      <c r="V190" s="185"/>
      <c r="W190" s="185"/>
      <c r="X190" s="250"/>
      <c r="Y190" s="136" t="s">
        <v>348</v>
      </c>
      <c r="Z190" s="124" t="s">
        <v>215</v>
      </c>
      <c r="AA190" s="124"/>
      <c r="AB190" s="139"/>
      <c r="AC190" s="403"/>
      <c r="AD190" s="404"/>
      <c r="AE190" s="404"/>
      <c r="AF190" s="405"/>
      <c r="AG190" s="119" t="str">
        <f>"ser_code = '" &amp; IF(A199="■",25,"") &amp; "'"</f>
        <v>ser_code = ''</v>
      </c>
      <c r="AH190" s="119"/>
      <c r="AI190" s="119" t="str">
        <f>"25:yakan_kinmu_code:" &amp; IF(I190="■",1,IF(M190="■",6,0))</f>
        <v>25:yakan_kinmu_code:0</v>
      </c>
      <c r="AJ190" s="119" t="str">
        <f>"25:field203:" &amp; IF(Y190="■",1,IF(Y191="■",2,0))</f>
        <v>25:field203:0</v>
      </c>
    </row>
    <row r="191" spans="1:36" ht="18.75" customHeight="1" x14ac:dyDescent="0.15">
      <c r="A191" s="107"/>
      <c r="B191" s="108"/>
      <c r="C191" s="109"/>
      <c r="D191" s="110"/>
      <c r="E191" s="111"/>
      <c r="F191" s="112"/>
      <c r="G191" s="111"/>
      <c r="H191" s="370" t="s">
        <v>92</v>
      </c>
      <c r="I191" s="194" t="s">
        <v>348</v>
      </c>
      <c r="J191" s="104" t="s">
        <v>216</v>
      </c>
      <c r="K191" s="104"/>
      <c r="L191" s="212"/>
      <c r="M191" s="123" t="s">
        <v>348</v>
      </c>
      <c r="N191" s="104" t="s">
        <v>254</v>
      </c>
      <c r="O191" s="104"/>
      <c r="P191" s="212"/>
      <c r="Q191" s="123" t="s">
        <v>348</v>
      </c>
      <c r="R191" s="103" t="s">
        <v>255</v>
      </c>
      <c r="U191" s="123" t="s">
        <v>348</v>
      </c>
      <c r="V191" s="103" t="s">
        <v>256</v>
      </c>
      <c r="X191" s="165"/>
      <c r="Y191" s="123" t="s">
        <v>348</v>
      </c>
      <c r="Z191" s="104" t="s">
        <v>221</v>
      </c>
      <c r="AA191" s="105"/>
      <c r="AB191" s="106"/>
      <c r="AC191" s="406"/>
      <c r="AD191" s="407"/>
      <c r="AE191" s="407"/>
      <c r="AF191" s="408"/>
      <c r="AG191" s="119" t="str">
        <f>"25:sisetukbn_code:" &amp; IF(D199="■","A",0)</f>
        <v>25:sisetukbn_code:0</v>
      </c>
      <c r="AH191" s="119"/>
      <c r="AI191" s="119" t="str">
        <f>"25:"&amp;IF(AND(I191="□",M191="□",Q191="□",U191="□",I192="□",M192="□",Q192="□"),"ketu_doctor_code:0",IF(I191="■","ketu_doctor_code:1:ketu_kangos_code:1:ketu_kshoku_code:1:ketu_rryoho_code:1:ketu_sryoho_code:1:ketu_gengo_code:1",
IF(M191="■","ketu_doctor_code:2","ketu_doctor_code:1")
&amp;IF(Q191="■",":ketu_kangos_code:2",":ketu_kangos_code:1")
&amp;IF(U191="■",":ketu_kshoku_code:2",":ketu_kshoku_code:1")
&amp;IF(I192="■",":ketu_rryoho_code:2",":ketu_rryoho_code:1")
&amp;IF(M192="■",":ketu_sryoho_code:2",":ketu_sryoho_code:1")
&amp;IF(Q192="■",":ketu_gengo_code:2",":ketu_gengo_code:1")))</f>
        <v>25:ketu_doctor_code:0</v>
      </c>
      <c r="AJ191" s="119"/>
    </row>
    <row r="192" spans="1:36" ht="18.75" customHeight="1" x14ac:dyDescent="0.15">
      <c r="A192" s="107"/>
      <c r="B192" s="108"/>
      <c r="C192" s="109"/>
      <c r="D192" s="110"/>
      <c r="E192" s="111"/>
      <c r="F192" s="112"/>
      <c r="G192" s="111"/>
      <c r="H192" s="371"/>
      <c r="I192" s="128" t="s">
        <v>348</v>
      </c>
      <c r="J192" s="115" t="s">
        <v>257</v>
      </c>
      <c r="K192" s="144"/>
      <c r="L192" s="144"/>
      <c r="M192" s="191" t="s">
        <v>348</v>
      </c>
      <c r="N192" s="115" t="s">
        <v>258</v>
      </c>
      <c r="O192" s="144"/>
      <c r="P192" s="144"/>
      <c r="Q192" s="191" t="s">
        <v>348</v>
      </c>
      <c r="R192" s="115" t="s">
        <v>259</v>
      </c>
      <c r="S192" s="144"/>
      <c r="T192" s="144"/>
      <c r="U192" s="144"/>
      <c r="V192" s="144"/>
      <c r="W192" s="144"/>
      <c r="X192" s="226"/>
      <c r="Y192" s="147"/>
      <c r="Z192" s="105"/>
      <c r="AA192" s="105"/>
      <c r="AB192" s="106"/>
      <c r="AC192" s="406"/>
      <c r="AD192" s="407"/>
      <c r="AE192" s="407"/>
      <c r="AF192" s="408"/>
    </row>
    <row r="193" spans="1:36" ht="18.75" customHeight="1" x14ac:dyDescent="0.15">
      <c r="A193" s="107"/>
      <c r="B193" s="108"/>
      <c r="C193" s="109"/>
      <c r="D193" s="110"/>
      <c r="E193" s="111"/>
      <c r="F193" s="112"/>
      <c r="G193" s="111"/>
      <c r="H193" s="230" t="s">
        <v>97</v>
      </c>
      <c r="I193" s="194" t="s">
        <v>348</v>
      </c>
      <c r="J193" s="149" t="s">
        <v>230</v>
      </c>
      <c r="K193" s="150"/>
      <c r="L193" s="151"/>
      <c r="M193" s="152" t="s">
        <v>348</v>
      </c>
      <c r="N193" s="149" t="s">
        <v>231</v>
      </c>
      <c r="O193" s="154"/>
      <c r="P193" s="150"/>
      <c r="Q193" s="154"/>
      <c r="R193" s="154"/>
      <c r="S193" s="154"/>
      <c r="T193" s="154"/>
      <c r="U193" s="154"/>
      <c r="V193" s="154"/>
      <c r="W193" s="154"/>
      <c r="X193" s="155"/>
      <c r="Y193" s="147"/>
      <c r="Z193" s="105"/>
      <c r="AA193" s="105"/>
      <c r="AB193" s="106"/>
      <c r="AC193" s="406"/>
      <c r="AD193" s="407"/>
      <c r="AE193" s="407"/>
      <c r="AF193" s="408"/>
      <c r="AI193" s="119" t="str">
        <f>"25:unitcare_code:" &amp; IF(I193="■",1,IF(M193="■",2,0))</f>
        <v>25:unitcare_code:0</v>
      </c>
    </row>
    <row r="194" spans="1:36" s="119" customFormat="1" ht="18.75" customHeight="1" x14ac:dyDescent="0.15">
      <c r="A194" s="107"/>
      <c r="B194" s="108"/>
      <c r="C194" s="238"/>
      <c r="D194" s="239"/>
      <c r="E194" s="111"/>
      <c r="F194" s="112"/>
      <c r="G194" s="113"/>
      <c r="H194" s="230" t="s">
        <v>103</v>
      </c>
      <c r="I194" s="148" t="s">
        <v>348</v>
      </c>
      <c r="J194" s="149" t="s">
        <v>360</v>
      </c>
      <c r="K194" s="150"/>
      <c r="L194" s="151"/>
      <c r="M194" s="152" t="s">
        <v>348</v>
      </c>
      <c r="N194" s="149" t="s">
        <v>361</v>
      </c>
      <c r="O194" s="150"/>
      <c r="P194" s="150"/>
      <c r="Q194" s="150"/>
      <c r="R194" s="150"/>
      <c r="S194" s="150"/>
      <c r="T194" s="150"/>
      <c r="U194" s="150"/>
      <c r="V194" s="150"/>
      <c r="W194" s="150"/>
      <c r="X194" s="159"/>
      <c r="Y194" s="147"/>
      <c r="Z194" s="105"/>
      <c r="AA194" s="105"/>
      <c r="AB194" s="106"/>
      <c r="AC194" s="406"/>
      <c r="AD194" s="407"/>
      <c r="AE194" s="407"/>
      <c r="AF194" s="408"/>
      <c r="AI194" s="119" t="str">
        <f>"25:sintaikousoku_code:" &amp; IF(I194="■",1,IF(M194="■",2,0))</f>
        <v>25:sintaikousoku_code:0</v>
      </c>
    </row>
    <row r="195" spans="1:36" ht="19.5" customHeight="1" x14ac:dyDescent="0.15">
      <c r="A195" s="107"/>
      <c r="B195" s="108"/>
      <c r="C195" s="109"/>
      <c r="D195" s="110"/>
      <c r="E195" s="111"/>
      <c r="F195" s="112"/>
      <c r="G195" s="113"/>
      <c r="H195" s="114" t="s">
        <v>369</v>
      </c>
      <c r="I195" s="194" t="s">
        <v>348</v>
      </c>
      <c r="J195" s="149" t="s">
        <v>360</v>
      </c>
      <c r="K195" s="150"/>
      <c r="L195" s="151"/>
      <c r="M195" s="152" t="s">
        <v>348</v>
      </c>
      <c r="N195" s="149" t="s">
        <v>370</v>
      </c>
      <c r="O195" s="149"/>
      <c r="P195" s="149"/>
      <c r="Q195" s="154"/>
      <c r="R195" s="154"/>
      <c r="S195" s="154"/>
      <c r="T195" s="154"/>
      <c r="U195" s="154"/>
      <c r="V195" s="154"/>
      <c r="W195" s="154"/>
      <c r="X195" s="155"/>
      <c r="Y195" s="105"/>
      <c r="Z195" s="105"/>
      <c r="AA195" s="105"/>
      <c r="AB195" s="106"/>
      <c r="AC195" s="406"/>
      <c r="AD195" s="407"/>
      <c r="AE195" s="407"/>
      <c r="AF195" s="408"/>
      <c r="AI195" s="119" t="str">
        <f>"25:field223:" &amp; IF(I195="■",1,IF(M195="■",2,0))</f>
        <v>25:field223:0</v>
      </c>
    </row>
    <row r="196" spans="1:36" ht="19.5" customHeight="1" x14ac:dyDescent="0.15">
      <c r="A196" s="107"/>
      <c r="B196" s="108"/>
      <c r="C196" s="109"/>
      <c r="D196" s="110"/>
      <c r="E196" s="111"/>
      <c r="F196" s="112"/>
      <c r="G196" s="113"/>
      <c r="H196" s="114" t="s">
        <v>390</v>
      </c>
      <c r="I196" s="194" t="s">
        <v>348</v>
      </c>
      <c r="J196" s="115" t="s">
        <v>360</v>
      </c>
      <c r="K196" s="166"/>
      <c r="L196" s="116"/>
      <c r="M196" s="191" t="s">
        <v>348</v>
      </c>
      <c r="N196" s="115" t="s">
        <v>370</v>
      </c>
      <c r="O196" s="115"/>
      <c r="P196" s="115"/>
      <c r="Q196" s="145"/>
      <c r="R196" s="145"/>
      <c r="S196" s="145"/>
      <c r="T196" s="145"/>
      <c r="U196" s="145"/>
      <c r="V196" s="145"/>
      <c r="W196" s="145"/>
      <c r="X196" s="146"/>
      <c r="Y196" s="105"/>
      <c r="Z196" s="104"/>
      <c r="AA196" s="105"/>
      <c r="AB196" s="106"/>
      <c r="AC196" s="406"/>
      <c r="AD196" s="407"/>
      <c r="AE196" s="407"/>
      <c r="AF196" s="408"/>
      <c r="AI196" s="119" t="str">
        <f>"25:field232:" &amp; IF(I196="■",1,IF(M196="■",2,0))</f>
        <v>25:field232:0</v>
      </c>
    </row>
    <row r="197" spans="1:36" ht="18.75" customHeight="1" x14ac:dyDescent="0.15">
      <c r="A197" s="107"/>
      <c r="B197" s="108"/>
      <c r="C197" s="109"/>
      <c r="D197" s="110"/>
      <c r="E197" s="111"/>
      <c r="F197" s="112"/>
      <c r="G197" s="111"/>
      <c r="H197" s="230" t="s">
        <v>105</v>
      </c>
      <c r="I197" s="194" t="s">
        <v>348</v>
      </c>
      <c r="J197" s="149" t="s">
        <v>216</v>
      </c>
      <c r="K197" s="150"/>
      <c r="L197" s="152" t="s">
        <v>348</v>
      </c>
      <c r="M197" s="149" t="s">
        <v>232</v>
      </c>
      <c r="N197" s="196"/>
      <c r="O197" s="154"/>
      <c r="P197" s="154"/>
      <c r="Q197" s="154"/>
      <c r="R197" s="154"/>
      <c r="S197" s="154"/>
      <c r="T197" s="154"/>
      <c r="U197" s="154"/>
      <c r="V197" s="154"/>
      <c r="W197" s="154"/>
      <c r="X197" s="155"/>
      <c r="Y197" s="147"/>
      <c r="Z197" s="105"/>
      <c r="AA197" s="105"/>
      <c r="AB197" s="106"/>
      <c r="AC197" s="406"/>
      <c r="AD197" s="407"/>
      <c r="AE197" s="407"/>
      <c r="AF197" s="408"/>
      <c r="AI197" s="119" t="str">
        <f>"25:yakinhaiti_code:" &amp; IF(I197="■",1,IF(L197="■",2,0))</f>
        <v>25:yakinhaiti_code:0</v>
      </c>
    </row>
    <row r="198" spans="1:36" ht="18.75" customHeight="1" x14ac:dyDescent="0.15">
      <c r="A198" s="107"/>
      <c r="B198" s="108"/>
      <c r="C198" s="109"/>
      <c r="D198" s="110"/>
      <c r="E198" s="111"/>
      <c r="F198" s="112"/>
      <c r="G198" s="111"/>
      <c r="H198" s="230" t="s">
        <v>424</v>
      </c>
      <c r="I198" s="194" t="s">
        <v>348</v>
      </c>
      <c r="J198" s="149" t="s">
        <v>216</v>
      </c>
      <c r="K198" s="150"/>
      <c r="L198" s="152" t="s">
        <v>348</v>
      </c>
      <c r="M198" s="149" t="s">
        <v>232</v>
      </c>
      <c r="N198" s="196"/>
      <c r="O198" s="154"/>
      <c r="P198" s="154"/>
      <c r="Q198" s="154"/>
      <c r="R198" s="154"/>
      <c r="S198" s="154"/>
      <c r="T198" s="154"/>
      <c r="U198" s="154"/>
      <c r="V198" s="154"/>
      <c r="W198" s="154"/>
      <c r="X198" s="155"/>
      <c r="Y198" s="147"/>
      <c r="Z198" s="105"/>
      <c r="AA198" s="105"/>
      <c r="AB198" s="106"/>
      <c r="AC198" s="406"/>
      <c r="AD198" s="407"/>
      <c r="AE198" s="407"/>
      <c r="AF198" s="408"/>
      <c r="AI198" s="119" t="str">
        <f>"25:jyakuninti_uke_code:" &amp; IF(I198="■",1,IF(L198="■",2,0))</f>
        <v>25:jyakuninti_uke_code:0</v>
      </c>
    </row>
    <row r="199" spans="1:36" ht="18.75" customHeight="1" x14ac:dyDescent="0.15">
      <c r="A199" s="128" t="s">
        <v>348</v>
      </c>
      <c r="B199" s="108">
        <v>25</v>
      </c>
      <c r="C199" s="109" t="s">
        <v>429</v>
      </c>
      <c r="D199" s="128" t="s">
        <v>348</v>
      </c>
      <c r="E199" s="111" t="s">
        <v>292</v>
      </c>
      <c r="F199" s="112"/>
      <c r="G199" s="111"/>
      <c r="H199" s="230" t="s">
        <v>94</v>
      </c>
      <c r="I199" s="194" t="s">
        <v>348</v>
      </c>
      <c r="J199" s="149" t="s">
        <v>230</v>
      </c>
      <c r="K199" s="150"/>
      <c r="L199" s="151"/>
      <c r="M199" s="152" t="s">
        <v>348</v>
      </c>
      <c r="N199" s="149" t="s">
        <v>231</v>
      </c>
      <c r="O199" s="154"/>
      <c r="P199" s="154"/>
      <c r="Q199" s="154"/>
      <c r="R199" s="154"/>
      <c r="S199" s="154"/>
      <c r="T199" s="154"/>
      <c r="U199" s="154"/>
      <c r="V199" s="154"/>
      <c r="W199" s="154"/>
      <c r="X199" s="155"/>
      <c r="Y199" s="147"/>
      <c r="Z199" s="105"/>
      <c r="AA199" s="105"/>
      <c r="AB199" s="106"/>
      <c r="AC199" s="406"/>
      <c r="AD199" s="407"/>
      <c r="AE199" s="407"/>
      <c r="AF199" s="408"/>
      <c r="AI199" s="119" t="str">
        <f>"25:sougei_code:" &amp; IF(I199="■",1,IF(M199="■",2,0))</f>
        <v>25:sougei_code:0</v>
      </c>
    </row>
    <row r="200" spans="1:36" ht="19.5" customHeight="1" x14ac:dyDescent="0.15">
      <c r="A200" s="107"/>
      <c r="B200" s="108"/>
      <c r="C200" s="109"/>
      <c r="D200" s="110"/>
      <c r="E200" s="111"/>
      <c r="F200" s="112"/>
      <c r="G200" s="113"/>
      <c r="H200" s="114" t="s">
        <v>372</v>
      </c>
      <c r="I200" s="194" t="s">
        <v>348</v>
      </c>
      <c r="J200" s="149" t="s">
        <v>216</v>
      </c>
      <c r="K200" s="149"/>
      <c r="L200" s="152" t="s">
        <v>348</v>
      </c>
      <c r="M200" s="149" t="s">
        <v>232</v>
      </c>
      <c r="N200" s="149"/>
      <c r="O200" s="154"/>
      <c r="P200" s="149"/>
      <c r="Q200" s="154"/>
      <c r="R200" s="154"/>
      <c r="S200" s="154"/>
      <c r="T200" s="154"/>
      <c r="U200" s="154"/>
      <c r="V200" s="154"/>
      <c r="W200" s="154"/>
      <c r="X200" s="155"/>
      <c r="Y200" s="105"/>
      <c r="Z200" s="105"/>
      <c r="AA200" s="105"/>
      <c r="AB200" s="106"/>
      <c r="AC200" s="406"/>
      <c r="AD200" s="407"/>
      <c r="AE200" s="407"/>
      <c r="AF200" s="408"/>
      <c r="AI200" s="119" t="str">
        <f>"25:field224:" &amp; IF(I200="■",1,IF(L200="■",2,0))</f>
        <v>25:field224:0</v>
      </c>
    </row>
    <row r="201" spans="1:36" ht="18.75" customHeight="1" x14ac:dyDescent="0.15">
      <c r="A201" s="107"/>
      <c r="B201" s="108"/>
      <c r="C201" s="109"/>
      <c r="D201" s="110"/>
      <c r="E201" s="111"/>
      <c r="F201" s="112"/>
      <c r="G201" s="111"/>
      <c r="H201" s="230" t="s">
        <v>106</v>
      </c>
      <c r="I201" s="194" t="s">
        <v>348</v>
      </c>
      <c r="J201" s="149" t="s">
        <v>216</v>
      </c>
      <c r="K201" s="150"/>
      <c r="L201" s="152" t="s">
        <v>348</v>
      </c>
      <c r="M201" s="149" t="s">
        <v>232</v>
      </c>
      <c r="N201" s="196"/>
      <c r="O201" s="154"/>
      <c r="P201" s="154"/>
      <c r="Q201" s="154"/>
      <c r="R201" s="154"/>
      <c r="S201" s="154"/>
      <c r="T201" s="154"/>
      <c r="U201" s="154"/>
      <c r="V201" s="154"/>
      <c r="W201" s="154"/>
      <c r="X201" s="155"/>
      <c r="Y201" s="147"/>
      <c r="Z201" s="105"/>
      <c r="AA201" s="105"/>
      <c r="AB201" s="106"/>
      <c r="AC201" s="406"/>
      <c r="AD201" s="407"/>
      <c r="AE201" s="407"/>
      <c r="AF201" s="408"/>
      <c r="AI201" s="119" t="str">
        <f>"25:ryouyoushoku_code:" &amp; IF(I201="■",1,IF(L201="■",2,0))</f>
        <v>25:ryouyoushoku_code:0</v>
      </c>
    </row>
    <row r="202" spans="1:36" ht="18.75" customHeight="1" x14ac:dyDescent="0.15">
      <c r="A202" s="107"/>
      <c r="B202" s="108"/>
      <c r="C202" s="109"/>
      <c r="D202" s="110"/>
      <c r="E202" s="111"/>
      <c r="F202" s="112"/>
      <c r="G202" s="111"/>
      <c r="H202" s="230" t="s">
        <v>165</v>
      </c>
      <c r="I202" s="194" t="s">
        <v>348</v>
      </c>
      <c r="J202" s="149" t="s">
        <v>216</v>
      </c>
      <c r="K202" s="149"/>
      <c r="L202" s="152" t="s">
        <v>348</v>
      </c>
      <c r="M202" s="149" t="s">
        <v>217</v>
      </c>
      <c r="N202" s="149"/>
      <c r="O202" s="152" t="s">
        <v>348</v>
      </c>
      <c r="P202" s="149" t="s">
        <v>218</v>
      </c>
      <c r="Q202" s="154"/>
      <c r="R202" s="154"/>
      <c r="S202" s="154"/>
      <c r="T202" s="154"/>
      <c r="U202" s="154"/>
      <c r="V202" s="154"/>
      <c r="W202" s="154"/>
      <c r="X202" s="155"/>
      <c r="Y202" s="147"/>
      <c r="Z202" s="105"/>
      <c r="AA202" s="105"/>
      <c r="AB202" s="106"/>
      <c r="AC202" s="406"/>
      <c r="AD202" s="407"/>
      <c r="AE202" s="407"/>
      <c r="AF202" s="408"/>
      <c r="AI202" s="119" t="str">
        <f>"25:ninti_senmoncare_code:" &amp; IF(I202="■",1,IF(O202="■",3,IF(L202="■",2,0)))</f>
        <v>25:ninti_senmoncare_code:0</v>
      </c>
    </row>
    <row r="203" spans="1:36" ht="18.75" customHeight="1" x14ac:dyDescent="0.15">
      <c r="A203" s="107"/>
      <c r="B203" s="108"/>
      <c r="C203" s="109"/>
      <c r="D203" s="110"/>
      <c r="E203" s="111"/>
      <c r="F203" s="112"/>
      <c r="G203" s="111"/>
      <c r="H203" s="240" t="s">
        <v>385</v>
      </c>
      <c r="I203" s="194" t="s">
        <v>348</v>
      </c>
      <c r="J203" s="149" t="s">
        <v>216</v>
      </c>
      <c r="K203" s="149"/>
      <c r="L203" s="152" t="s">
        <v>348</v>
      </c>
      <c r="M203" s="149" t="s">
        <v>217</v>
      </c>
      <c r="N203" s="149"/>
      <c r="O203" s="152" t="s">
        <v>348</v>
      </c>
      <c r="P203" s="149" t="s">
        <v>218</v>
      </c>
      <c r="Q203" s="154"/>
      <c r="R203" s="154"/>
      <c r="S203" s="154"/>
      <c r="T203" s="154"/>
      <c r="U203" s="241"/>
      <c r="V203" s="241"/>
      <c r="W203" s="241"/>
      <c r="X203" s="242"/>
      <c r="Y203" s="147"/>
      <c r="Z203" s="105"/>
      <c r="AA203" s="105"/>
      <c r="AB203" s="106"/>
      <c r="AC203" s="406"/>
      <c r="AD203" s="407"/>
      <c r="AE203" s="407"/>
      <c r="AF203" s="408"/>
      <c r="AI203" s="119" t="str">
        <f>"25:field225:" &amp; IF(I203="■",1,IF(L203="■",2,IF(O203="■",3,0)))</f>
        <v>25:field225:0</v>
      </c>
    </row>
    <row r="204" spans="1:36" ht="18.75" customHeight="1" x14ac:dyDescent="0.15">
      <c r="A204" s="107"/>
      <c r="B204" s="108"/>
      <c r="C204" s="109"/>
      <c r="D204" s="110"/>
      <c r="E204" s="111"/>
      <c r="F204" s="112"/>
      <c r="G204" s="111"/>
      <c r="H204" s="230" t="s">
        <v>111</v>
      </c>
      <c r="I204" s="194" t="s">
        <v>348</v>
      </c>
      <c r="J204" s="149" t="s">
        <v>216</v>
      </c>
      <c r="K204" s="149"/>
      <c r="L204" s="152" t="s">
        <v>348</v>
      </c>
      <c r="M204" s="149" t="s">
        <v>224</v>
      </c>
      <c r="N204" s="149"/>
      <c r="O204" s="152" t="s">
        <v>348</v>
      </c>
      <c r="P204" s="149" t="s">
        <v>225</v>
      </c>
      <c r="Q204" s="196"/>
      <c r="R204" s="152" t="s">
        <v>348</v>
      </c>
      <c r="S204" s="149" t="s">
        <v>248</v>
      </c>
      <c r="T204" s="149"/>
      <c r="U204" s="196"/>
      <c r="V204" s="196"/>
      <c r="W204" s="196"/>
      <c r="X204" s="197"/>
      <c r="Y204" s="147"/>
      <c r="Z204" s="105"/>
      <c r="AA204" s="105"/>
      <c r="AB204" s="106"/>
      <c r="AC204" s="406"/>
      <c r="AD204" s="407"/>
      <c r="AE204" s="407"/>
      <c r="AF204" s="408"/>
      <c r="AI204" s="119" t="str">
        <f>"25:serteikyo_kyoka_code:" &amp; IF(I204="■",1,IF(L204="■",6,IF(O204="■",5,IF(R204="■",7,0))))</f>
        <v>25:serteikyo_kyoka_code:0</v>
      </c>
    </row>
    <row r="205" spans="1:36" ht="18.75" customHeight="1" x14ac:dyDescent="0.15">
      <c r="A205" s="107"/>
      <c r="B205" s="108"/>
      <c r="C205" s="109"/>
      <c r="D205" s="110"/>
      <c r="E205" s="111"/>
      <c r="F205" s="112"/>
      <c r="G205" s="111"/>
      <c r="H205" s="329" t="s">
        <v>409</v>
      </c>
      <c r="I205" s="360" t="s">
        <v>348</v>
      </c>
      <c r="J205" s="359" t="s">
        <v>216</v>
      </c>
      <c r="K205" s="359"/>
      <c r="L205" s="360" t="s">
        <v>348</v>
      </c>
      <c r="M205" s="359" t="s">
        <v>232</v>
      </c>
      <c r="N205" s="359"/>
      <c r="O205" s="160"/>
      <c r="P205" s="160"/>
      <c r="Q205" s="160"/>
      <c r="R205" s="160"/>
      <c r="S205" s="160"/>
      <c r="T205" s="160"/>
      <c r="U205" s="160"/>
      <c r="V205" s="160"/>
      <c r="W205" s="160"/>
      <c r="X205" s="163"/>
      <c r="Y205" s="147"/>
      <c r="Z205" s="105"/>
      <c r="AA205" s="105"/>
      <c r="AB205" s="106"/>
      <c r="AC205" s="406"/>
      <c r="AD205" s="407"/>
      <c r="AE205" s="407"/>
      <c r="AF205" s="408"/>
      <c r="AI205" s="119" t="str">
        <f>"25:field221:" &amp; IF(I205="■",1,IF(L205="■",2,0))</f>
        <v>25:field221:0</v>
      </c>
    </row>
    <row r="206" spans="1:36" ht="18.75" customHeight="1" x14ac:dyDescent="0.15">
      <c r="A206" s="107"/>
      <c r="B206" s="108"/>
      <c r="C206" s="109"/>
      <c r="D206" s="110"/>
      <c r="E206" s="111"/>
      <c r="F206" s="112"/>
      <c r="G206" s="111"/>
      <c r="H206" s="328"/>
      <c r="I206" s="360"/>
      <c r="J206" s="359"/>
      <c r="K206" s="359"/>
      <c r="L206" s="360"/>
      <c r="M206" s="359"/>
      <c r="N206" s="359"/>
      <c r="O206" s="115"/>
      <c r="P206" s="115"/>
      <c r="Q206" s="115"/>
      <c r="R206" s="115"/>
      <c r="S206" s="115"/>
      <c r="T206" s="115"/>
      <c r="U206" s="115"/>
      <c r="V206" s="115"/>
      <c r="W206" s="115"/>
      <c r="X206" s="161"/>
      <c r="Y206" s="147"/>
      <c r="Z206" s="105"/>
      <c r="AA206" s="105"/>
      <c r="AB206" s="106"/>
      <c r="AC206" s="406"/>
      <c r="AD206" s="407"/>
      <c r="AE206" s="407"/>
      <c r="AF206" s="408"/>
    </row>
    <row r="207" spans="1:36" ht="18.75" customHeight="1" x14ac:dyDescent="0.15">
      <c r="A207" s="170"/>
      <c r="B207" s="171"/>
      <c r="C207" s="172"/>
      <c r="D207" s="173"/>
      <c r="E207" s="174"/>
      <c r="F207" s="175"/>
      <c r="G207" s="176"/>
      <c r="H207" s="95" t="s">
        <v>405</v>
      </c>
      <c r="I207" s="177" t="s">
        <v>348</v>
      </c>
      <c r="J207" s="96" t="s">
        <v>216</v>
      </c>
      <c r="K207" s="96"/>
      <c r="L207" s="178" t="s">
        <v>348</v>
      </c>
      <c r="M207" s="96" t="s">
        <v>373</v>
      </c>
      <c r="N207" s="97"/>
      <c r="O207" s="178" t="s">
        <v>348</v>
      </c>
      <c r="P207" s="99" t="s">
        <v>374</v>
      </c>
      <c r="Q207" s="98"/>
      <c r="R207" s="178" t="s">
        <v>348</v>
      </c>
      <c r="S207" s="96" t="s">
        <v>375</v>
      </c>
      <c r="T207" s="98"/>
      <c r="U207" s="178" t="s">
        <v>348</v>
      </c>
      <c r="V207" s="96" t="s">
        <v>376</v>
      </c>
      <c r="W207" s="100"/>
      <c r="X207" s="101"/>
      <c r="Y207" s="179"/>
      <c r="Z207" s="179"/>
      <c r="AA207" s="179"/>
      <c r="AB207" s="180"/>
      <c r="AC207" s="409"/>
      <c r="AD207" s="410"/>
      <c r="AE207" s="410"/>
      <c r="AF207" s="411"/>
      <c r="AG207" s="119"/>
      <c r="AH207" s="119"/>
      <c r="AI207" s="119" t="str">
        <f>"25:shoguukaizen_code:"&amp;IF(I207="■",1,IF(L207="■",7,IF(O207="■",8,IF(R207="■",9,IF(U207="■","A",0)))))</f>
        <v>25:shoguukaizen_code:0</v>
      </c>
    </row>
    <row r="208" spans="1:36" ht="18.75" customHeight="1" x14ac:dyDescent="0.15">
      <c r="A208" s="130"/>
      <c r="B208" s="131"/>
      <c r="C208" s="132"/>
      <c r="D208" s="133"/>
      <c r="E208" s="135"/>
      <c r="F208" s="133"/>
      <c r="G208" s="126"/>
      <c r="H208" s="340" t="s">
        <v>163</v>
      </c>
      <c r="I208" s="140" t="s">
        <v>348</v>
      </c>
      <c r="J208" s="124" t="s">
        <v>265</v>
      </c>
      <c r="K208" s="137"/>
      <c r="L208" s="231"/>
      <c r="M208" s="136" t="s">
        <v>348</v>
      </c>
      <c r="N208" s="124" t="s">
        <v>293</v>
      </c>
      <c r="O208" s="232"/>
      <c r="P208" s="232"/>
      <c r="Q208" s="136" t="s">
        <v>348</v>
      </c>
      <c r="R208" s="124" t="s">
        <v>294</v>
      </c>
      <c r="S208" s="232"/>
      <c r="T208" s="232"/>
      <c r="U208" s="136" t="s">
        <v>348</v>
      </c>
      <c r="V208" s="124" t="s">
        <v>295</v>
      </c>
      <c r="W208" s="232"/>
      <c r="X208" s="213"/>
      <c r="Y208" s="136" t="s">
        <v>348</v>
      </c>
      <c r="Z208" s="124" t="s">
        <v>215</v>
      </c>
      <c r="AA208" s="124"/>
      <c r="AB208" s="139"/>
      <c r="AC208" s="403"/>
      <c r="AD208" s="404"/>
      <c r="AE208" s="404"/>
      <c r="AF208" s="405"/>
      <c r="AG208" s="119" t="str">
        <f>"ser_code = '" &amp; IF(A218="■",26,"") &amp; "'"</f>
        <v>ser_code = ''</v>
      </c>
      <c r="AH208" s="119" t="str">
        <f>"26:jininkbn_code:" &amp; IF(F214="■",2,IF(F216="■",5,IF(F218="■",6,IF(F220="■",3,IF(F222="■",7,IF(F224="■",4,0))))))</f>
        <v>26:jininkbn_code:0</v>
      </c>
      <c r="AI208" s="119" t="str">
        <f>"26:yakan_kinmu_code:" &amp; IF(I208="■",1,IF(M208="■",2,IF(Q208="■",3,IF(U208="■",7,IF(I209="■",5,IF(M209="■",6,0))))))</f>
        <v>26:yakan_kinmu_code:0</v>
      </c>
      <c r="AJ208" s="119" t="str">
        <f>"26:field203:" &amp; IF(Y208="■",1,IF(Y209="■",2,0))</f>
        <v>26:field203:0</v>
      </c>
    </row>
    <row r="209" spans="1:36" ht="18.75" customHeight="1" x14ac:dyDescent="0.15">
      <c r="A209" s="107"/>
      <c r="B209" s="108"/>
      <c r="C209" s="109"/>
      <c r="D209" s="110"/>
      <c r="E209" s="113"/>
      <c r="F209" s="110"/>
      <c r="G209" s="111"/>
      <c r="H209" s="371"/>
      <c r="I209" s="128" t="s">
        <v>348</v>
      </c>
      <c r="J209" s="115" t="s">
        <v>296</v>
      </c>
      <c r="K209" s="166"/>
      <c r="L209" s="116"/>
      <c r="M209" s="191" t="s">
        <v>348</v>
      </c>
      <c r="N209" s="115" t="s">
        <v>266</v>
      </c>
      <c r="O209" s="144"/>
      <c r="P209" s="144"/>
      <c r="Q209" s="144"/>
      <c r="R209" s="144"/>
      <c r="S209" s="144"/>
      <c r="T209" s="144"/>
      <c r="U209" s="144"/>
      <c r="V209" s="144"/>
      <c r="W209" s="144"/>
      <c r="X209" s="226"/>
      <c r="Y209" s="123" t="s">
        <v>348</v>
      </c>
      <c r="Z209" s="104" t="s">
        <v>221</v>
      </c>
      <c r="AA209" s="105"/>
      <c r="AB209" s="106"/>
      <c r="AC209" s="406"/>
      <c r="AD209" s="407"/>
      <c r="AE209" s="407"/>
      <c r="AF209" s="408"/>
      <c r="AG209" s="119" t="str">
        <f>"26:sisetukbn_code:" &amp; IF(D218="■",1,0)</f>
        <v>26:sisetukbn_code:0</v>
      </c>
      <c r="AH209" s="119"/>
      <c r="AI209" s="119"/>
      <c r="AJ209" s="119"/>
    </row>
    <row r="210" spans="1:36" ht="18.75" customHeight="1" x14ac:dyDescent="0.15">
      <c r="A210" s="107"/>
      <c r="B210" s="108"/>
      <c r="C210" s="109"/>
      <c r="D210" s="110"/>
      <c r="E210" s="113"/>
      <c r="F210" s="110"/>
      <c r="G210" s="111"/>
      <c r="H210" s="230" t="s">
        <v>92</v>
      </c>
      <c r="I210" s="194" t="s">
        <v>348</v>
      </c>
      <c r="J210" s="149" t="s">
        <v>216</v>
      </c>
      <c r="K210" s="149"/>
      <c r="L210" s="151"/>
      <c r="M210" s="152" t="s">
        <v>348</v>
      </c>
      <c r="N210" s="149" t="s">
        <v>254</v>
      </c>
      <c r="O210" s="149"/>
      <c r="P210" s="151"/>
      <c r="Q210" s="152" t="s">
        <v>348</v>
      </c>
      <c r="R210" s="196" t="s">
        <v>255</v>
      </c>
      <c r="S210" s="196"/>
      <c r="T210" s="196"/>
      <c r="U210" s="152" t="s">
        <v>348</v>
      </c>
      <c r="V210" s="196" t="s">
        <v>256</v>
      </c>
      <c r="W210" s="154"/>
      <c r="X210" s="155"/>
      <c r="Y210" s="147"/>
      <c r="Z210" s="105"/>
      <c r="AA210" s="105"/>
      <c r="AB210" s="106"/>
      <c r="AC210" s="406"/>
      <c r="AD210" s="407"/>
      <c r="AE210" s="407"/>
      <c r="AF210" s="408"/>
      <c r="AI210" s="119" t="str">
        <f>"26:"&amp;IF(AND(I210="□",M210="□",Q210="□",U210="□"),"ketu_doctor_code:0",IF(I210="■","ketu_doctor_code:1:ketu_kangos_code:1:ketu_kshoku_code:1",
IF(M210="■","ketu_doctor_code:2","ketu_doctor_code:1")
&amp;IF(Q210="■",":ketu_kangos_code:2",":ketu_kangos_code:1")
&amp;IF(U210="■",":ketu_kshoku_code:2",":ketu_kshoku_code:1")))</f>
        <v>26:ketu_doctor_code:0</v>
      </c>
    </row>
    <row r="211" spans="1:36" s="119" customFormat="1" ht="18.75" customHeight="1" x14ac:dyDescent="0.15">
      <c r="A211" s="107"/>
      <c r="B211" s="108"/>
      <c r="C211" s="238"/>
      <c r="D211" s="239"/>
      <c r="E211" s="111"/>
      <c r="F211" s="112"/>
      <c r="G211" s="113"/>
      <c r="H211" s="230" t="s">
        <v>103</v>
      </c>
      <c r="I211" s="148" t="s">
        <v>348</v>
      </c>
      <c r="J211" s="149" t="s">
        <v>360</v>
      </c>
      <c r="K211" s="150"/>
      <c r="L211" s="151"/>
      <c r="M211" s="152" t="s">
        <v>348</v>
      </c>
      <c r="N211" s="149" t="s">
        <v>361</v>
      </c>
      <c r="O211" s="150"/>
      <c r="P211" s="150"/>
      <c r="Q211" s="150"/>
      <c r="R211" s="150"/>
      <c r="S211" s="150"/>
      <c r="T211" s="150"/>
      <c r="U211" s="150"/>
      <c r="V211" s="150"/>
      <c r="W211" s="150"/>
      <c r="X211" s="159"/>
      <c r="Y211" s="147"/>
      <c r="Z211" s="105"/>
      <c r="AA211" s="105"/>
      <c r="AB211" s="106"/>
      <c r="AC211" s="406"/>
      <c r="AD211" s="407"/>
      <c r="AE211" s="407"/>
      <c r="AF211" s="408"/>
      <c r="AI211" s="119" t="str">
        <f>"26:sintaikousoku_code:" &amp; IF(I211="■",1,IF(M211="■",2,0))</f>
        <v>26:sintaikousoku_code:0</v>
      </c>
    </row>
    <row r="212" spans="1:36" ht="19.5" customHeight="1" x14ac:dyDescent="0.15">
      <c r="A212" s="107"/>
      <c r="B212" s="108"/>
      <c r="C212" s="109"/>
      <c r="D212" s="110"/>
      <c r="E212" s="111"/>
      <c r="F212" s="112"/>
      <c r="G212" s="113"/>
      <c r="H212" s="114" t="s">
        <v>369</v>
      </c>
      <c r="I212" s="194" t="s">
        <v>348</v>
      </c>
      <c r="J212" s="149" t="s">
        <v>360</v>
      </c>
      <c r="K212" s="150"/>
      <c r="L212" s="151"/>
      <c r="M212" s="152" t="s">
        <v>348</v>
      </c>
      <c r="N212" s="149" t="s">
        <v>370</v>
      </c>
      <c r="O212" s="149"/>
      <c r="P212" s="149"/>
      <c r="Q212" s="154"/>
      <c r="R212" s="154"/>
      <c r="S212" s="154"/>
      <c r="T212" s="154"/>
      <c r="U212" s="154"/>
      <c r="V212" s="154"/>
      <c r="W212" s="154"/>
      <c r="X212" s="155"/>
      <c r="Y212" s="105"/>
      <c r="Z212" s="105"/>
      <c r="AA212" s="105"/>
      <c r="AB212" s="106"/>
      <c r="AC212" s="406"/>
      <c r="AD212" s="407"/>
      <c r="AE212" s="407"/>
      <c r="AF212" s="408"/>
      <c r="AI212" s="119" t="str">
        <f>"26:field223:" &amp; IF(I212="■",1,IF(M212="■",2,0))</f>
        <v>26:field223:0</v>
      </c>
    </row>
    <row r="213" spans="1:36" ht="19.5" customHeight="1" x14ac:dyDescent="0.15">
      <c r="A213" s="107"/>
      <c r="B213" s="108"/>
      <c r="C213" s="109"/>
      <c r="D213" s="110"/>
      <c r="E213" s="111"/>
      <c r="F213" s="112"/>
      <c r="G213" s="113"/>
      <c r="H213" s="114" t="s">
        <v>390</v>
      </c>
      <c r="I213" s="194" t="s">
        <v>348</v>
      </c>
      <c r="J213" s="115" t="s">
        <v>360</v>
      </c>
      <c r="K213" s="166"/>
      <c r="L213" s="116"/>
      <c r="M213" s="191" t="s">
        <v>348</v>
      </c>
      <c r="N213" s="115" t="s">
        <v>370</v>
      </c>
      <c r="O213" s="115"/>
      <c r="P213" s="115"/>
      <c r="Q213" s="145"/>
      <c r="R213" s="145"/>
      <c r="S213" s="145"/>
      <c r="T213" s="145"/>
      <c r="U213" s="145"/>
      <c r="V213" s="145"/>
      <c r="W213" s="145"/>
      <c r="X213" s="146"/>
      <c r="Y213" s="105"/>
      <c r="Z213" s="104"/>
      <c r="AA213" s="105"/>
      <c r="AB213" s="106"/>
      <c r="AC213" s="406"/>
      <c r="AD213" s="407"/>
      <c r="AE213" s="407"/>
      <c r="AF213" s="408"/>
      <c r="AI213" s="119" t="str">
        <f>"26:field232:" &amp; IF(I213="■",1,IF(M213="■",2,0))</f>
        <v>26:field232:0</v>
      </c>
    </row>
    <row r="214" spans="1:36" ht="18.75" customHeight="1" x14ac:dyDescent="0.15">
      <c r="A214" s="107"/>
      <c r="B214" s="108"/>
      <c r="C214" s="109"/>
      <c r="D214" s="110"/>
      <c r="E214" s="113"/>
      <c r="F214" s="128" t="s">
        <v>348</v>
      </c>
      <c r="G214" s="111" t="s">
        <v>305</v>
      </c>
      <c r="H214" s="230" t="s">
        <v>430</v>
      </c>
      <c r="I214" s="194" t="s">
        <v>348</v>
      </c>
      <c r="J214" s="149" t="s">
        <v>265</v>
      </c>
      <c r="K214" s="150"/>
      <c r="L214" s="151"/>
      <c r="M214" s="152" t="s">
        <v>348</v>
      </c>
      <c r="N214" s="149" t="s">
        <v>297</v>
      </c>
      <c r="O214" s="196"/>
      <c r="P214" s="196"/>
      <c r="Q214" s="196"/>
      <c r="R214" s="196"/>
      <c r="S214" s="196"/>
      <c r="T214" s="196"/>
      <c r="U214" s="196"/>
      <c r="V214" s="196"/>
      <c r="W214" s="196"/>
      <c r="X214" s="197"/>
      <c r="Y214" s="147"/>
      <c r="Z214" s="105"/>
      <c r="AA214" s="105"/>
      <c r="AB214" s="106"/>
      <c r="AC214" s="406"/>
      <c r="AD214" s="407"/>
      <c r="AE214" s="407"/>
      <c r="AF214" s="408"/>
      <c r="AI214" s="119" t="str">
        <f>"26:ryokan_code:" &amp; IF(I214="■",1,IF(M214="■",2,0))</f>
        <v>26:ryokan_code:0</v>
      </c>
    </row>
    <row r="215" spans="1:36" ht="18.75" customHeight="1" x14ac:dyDescent="0.15">
      <c r="A215" s="107"/>
      <c r="B215" s="108"/>
      <c r="C215" s="109"/>
      <c r="D215" s="110"/>
      <c r="E215" s="113"/>
      <c r="F215" s="110"/>
      <c r="G215" s="111" t="s">
        <v>306</v>
      </c>
      <c r="H215" s="230" t="s">
        <v>100</v>
      </c>
      <c r="I215" s="194" t="s">
        <v>348</v>
      </c>
      <c r="J215" s="149" t="s">
        <v>367</v>
      </c>
      <c r="K215" s="150"/>
      <c r="L215" s="151"/>
      <c r="M215" s="152" t="s">
        <v>348</v>
      </c>
      <c r="N215" s="149" t="s">
        <v>298</v>
      </c>
      <c r="O215" s="154"/>
      <c r="P215" s="154"/>
      <c r="Q215" s="154"/>
      <c r="R215" s="196"/>
      <c r="S215" s="154"/>
      <c r="T215" s="154"/>
      <c r="U215" s="154"/>
      <c r="V215" s="154"/>
      <c r="W215" s="154"/>
      <c r="X215" s="155"/>
      <c r="Y215" s="147"/>
      <c r="Z215" s="105"/>
      <c r="AA215" s="105"/>
      <c r="AB215" s="106"/>
      <c r="AC215" s="406"/>
      <c r="AD215" s="407"/>
      <c r="AE215" s="407"/>
      <c r="AF215" s="408"/>
      <c r="AI215" s="119" t="str">
        <f>"26:doctor_haiti_code:" &amp; IF(I215="■",1,IF(M215="■",2,0))</f>
        <v>26:doctor_haiti_code:0</v>
      </c>
    </row>
    <row r="216" spans="1:36" ht="18.75" customHeight="1" x14ac:dyDescent="0.15">
      <c r="A216" s="107"/>
      <c r="B216" s="108"/>
      <c r="C216" s="109"/>
      <c r="D216" s="110"/>
      <c r="E216" s="113"/>
      <c r="F216" s="128" t="s">
        <v>348</v>
      </c>
      <c r="G216" s="111" t="s">
        <v>307</v>
      </c>
      <c r="H216" s="230" t="s">
        <v>424</v>
      </c>
      <c r="I216" s="194" t="s">
        <v>348</v>
      </c>
      <c r="J216" s="149" t="s">
        <v>216</v>
      </c>
      <c r="K216" s="150"/>
      <c r="L216" s="152" t="s">
        <v>348</v>
      </c>
      <c r="M216" s="149" t="s">
        <v>232</v>
      </c>
      <c r="N216" s="154"/>
      <c r="O216" s="154"/>
      <c r="P216" s="154"/>
      <c r="Q216" s="154"/>
      <c r="R216" s="154"/>
      <c r="S216" s="154"/>
      <c r="T216" s="154"/>
      <c r="U216" s="154"/>
      <c r="V216" s="154"/>
      <c r="W216" s="154"/>
      <c r="X216" s="155"/>
      <c r="Y216" s="147"/>
      <c r="Z216" s="105"/>
      <c r="AA216" s="105"/>
      <c r="AB216" s="106"/>
      <c r="AC216" s="406"/>
      <c r="AD216" s="407"/>
      <c r="AE216" s="407"/>
      <c r="AF216" s="408"/>
      <c r="AI216" s="119" t="str">
        <f>"26:jyakuninti_uke_code:" &amp; IF(I216="■",1,IF(L216="■",2,0))</f>
        <v>26:jyakuninti_uke_code:0</v>
      </c>
    </row>
    <row r="217" spans="1:36" ht="18.75" customHeight="1" x14ac:dyDescent="0.15">
      <c r="A217" s="107"/>
      <c r="B217" s="108"/>
      <c r="C217" s="109"/>
      <c r="D217" s="110"/>
      <c r="E217" s="113"/>
      <c r="F217" s="110"/>
      <c r="G217" s="111" t="s">
        <v>308</v>
      </c>
      <c r="H217" s="230" t="s">
        <v>94</v>
      </c>
      <c r="I217" s="194" t="s">
        <v>348</v>
      </c>
      <c r="J217" s="149" t="s">
        <v>230</v>
      </c>
      <c r="K217" s="150"/>
      <c r="L217" s="151"/>
      <c r="M217" s="152" t="s">
        <v>348</v>
      </c>
      <c r="N217" s="149" t="s">
        <v>231</v>
      </c>
      <c r="O217" s="154"/>
      <c r="P217" s="154"/>
      <c r="Q217" s="154"/>
      <c r="R217" s="154"/>
      <c r="S217" s="154"/>
      <c r="T217" s="154"/>
      <c r="U217" s="154"/>
      <c r="V217" s="154"/>
      <c r="W217" s="154"/>
      <c r="X217" s="155"/>
      <c r="Y217" s="147"/>
      <c r="Z217" s="105"/>
      <c r="AA217" s="105"/>
      <c r="AB217" s="106"/>
      <c r="AC217" s="406"/>
      <c r="AD217" s="407"/>
      <c r="AE217" s="407"/>
      <c r="AF217" s="408"/>
      <c r="AI217" s="119" t="str">
        <f>"26:sougei_code:" &amp; IF(I217="■",1,IF(M217="■",2,0))</f>
        <v>26:sougei_code:0</v>
      </c>
    </row>
    <row r="218" spans="1:36" ht="19.5" customHeight="1" x14ac:dyDescent="0.15">
      <c r="A218" s="128" t="s">
        <v>348</v>
      </c>
      <c r="B218" s="108">
        <v>26</v>
      </c>
      <c r="C218" s="109" t="s">
        <v>427</v>
      </c>
      <c r="D218" s="128" t="s">
        <v>348</v>
      </c>
      <c r="E218" s="113" t="s">
        <v>431</v>
      </c>
      <c r="F218" s="128" t="s">
        <v>348</v>
      </c>
      <c r="G218" s="111" t="s">
        <v>309</v>
      </c>
      <c r="H218" s="114" t="s">
        <v>372</v>
      </c>
      <c r="I218" s="194" t="s">
        <v>348</v>
      </c>
      <c r="J218" s="149" t="s">
        <v>216</v>
      </c>
      <c r="K218" s="149"/>
      <c r="L218" s="152" t="s">
        <v>348</v>
      </c>
      <c r="M218" s="149" t="s">
        <v>232</v>
      </c>
      <c r="N218" s="149"/>
      <c r="O218" s="154"/>
      <c r="P218" s="149"/>
      <c r="Q218" s="154"/>
      <c r="R218" s="154"/>
      <c r="S218" s="154"/>
      <c r="T218" s="154"/>
      <c r="U218" s="154"/>
      <c r="V218" s="154"/>
      <c r="W218" s="154"/>
      <c r="X218" s="155"/>
      <c r="Y218" s="105"/>
      <c r="Z218" s="105"/>
      <c r="AA218" s="105"/>
      <c r="AB218" s="106"/>
      <c r="AC218" s="406"/>
      <c r="AD218" s="407"/>
      <c r="AE218" s="407"/>
      <c r="AF218" s="408"/>
      <c r="AI218" s="119" t="str">
        <f>"26:field224:" &amp; IF(I218="■",1,IF(L218="■",2,0))</f>
        <v>26:field224:0</v>
      </c>
    </row>
    <row r="219" spans="1:36" ht="18.75" customHeight="1" x14ac:dyDescent="0.15">
      <c r="A219" s="107"/>
      <c r="B219" s="108"/>
      <c r="C219" s="109"/>
      <c r="D219" s="110"/>
      <c r="E219" s="111"/>
      <c r="F219" s="110"/>
      <c r="G219" s="111" t="s">
        <v>310</v>
      </c>
      <c r="H219" s="230" t="s">
        <v>106</v>
      </c>
      <c r="I219" s="194" t="s">
        <v>348</v>
      </c>
      <c r="J219" s="149" t="s">
        <v>216</v>
      </c>
      <c r="K219" s="150"/>
      <c r="L219" s="152" t="s">
        <v>348</v>
      </c>
      <c r="M219" s="149" t="s">
        <v>232</v>
      </c>
      <c r="N219" s="154"/>
      <c r="O219" s="154"/>
      <c r="P219" s="154"/>
      <c r="Q219" s="154"/>
      <c r="R219" s="154"/>
      <c r="S219" s="154"/>
      <c r="T219" s="154"/>
      <c r="U219" s="154"/>
      <c r="V219" s="154"/>
      <c r="W219" s="154"/>
      <c r="X219" s="155"/>
      <c r="Y219" s="147"/>
      <c r="Z219" s="105"/>
      <c r="AA219" s="105"/>
      <c r="AB219" s="106"/>
      <c r="AC219" s="406"/>
      <c r="AD219" s="407"/>
      <c r="AE219" s="407"/>
      <c r="AF219" s="408"/>
      <c r="AI219" s="119" t="str">
        <f>"26:ryouyoushoku_code:" &amp; IF(I219="■",1,IF(L219="■",2,0))</f>
        <v>26:ryouyoushoku_code:0</v>
      </c>
    </row>
    <row r="220" spans="1:36" ht="18.75" customHeight="1" x14ac:dyDescent="0.15">
      <c r="A220" s="107"/>
      <c r="B220" s="108"/>
      <c r="C220" s="109"/>
      <c r="D220" s="110"/>
      <c r="E220" s="113"/>
      <c r="F220" s="128" t="s">
        <v>348</v>
      </c>
      <c r="G220" s="111" t="s">
        <v>311</v>
      </c>
      <c r="H220" s="230" t="s">
        <v>165</v>
      </c>
      <c r="I220" s="194" t="s">
        <v>348</v>
      </c>
      <c r="J220" s="149" t="s">
        <v>216</v>
      </c>
      <c r="K220" s="149"/>
      <c r="L220" s="152" t="s">
        <v>348</v>
      </c>
      <c r="M220" s="149" t="s">
        <v>217</v>
      </c>
      <c r="N220" s="149"/>
      <c r="O220" s="152" t="s">
        <v>348</v>
      </c>
      <c r="P220" s="149" t="s">
        <v>218</v>
      </c>
      <c r="Q220" s="154"/>
      <c r="R220" s="154"/>
      <c r="S220" s="154"/>
      <c r="T220" s="154"/>
      <c r="U220" s="154"/>
      <c r="V220" s="154"/>
      <c r="W220" s="154"/>
      <c r="X220" s="155"/>
      <c r="Y220" s="147"/>
      <c r="Z220" s="105"/>
      <c r="AA220" s="105"/>
      <c r="AB220" s="106"/>
      <c r="AC220" s="406"/>
      <c r="AD220" s="407"/>
      <c r="AE220" s="407"/>
      <c r="AF220" s="408"/>
      <c r="AI220" s="119" t="str">
        <f>"26:ninti_senmoncare_code:" &amp; IF(I220="■",1,IF(O220="■",3,IF(L220="■",2,0)))</f>
        <v>26:ninti_senmoncare_code:0</v>
      </c>
    </row>
    <row r="221" spans="1:36" ht="18.75" customHeight="1" x14ac:dyDescent="0.15">
      <c r="A221" s="107"/>
      <c r="B221" s="108"/>
      <c r="C221" s="109"/>
      <c r="D221" s="110"/>
      <c r="E221" s="113"/>
      <c r="F221" s="110"/>
      <c r="G221" s="111" t="s">
        <v>306</v>
      </c>
      <c r="H221" s="370" t="s">
        <v>101</v>
      </c>
      <c r="I221" s="194" t="s">
        <v>348</v>
      </c>
      <c r="J221" s="160" t="s">
        <v>285</v>
      </c>
      <c r="K221" s="160"/>
      <c r="L221" s="241"/>
      <c r="M221" s="241"/>
      <c r="N221" s="241"/>
      <c r="O221" s="241"/>
      <c r="P221" s="195" t="s">
        <v>348</v>
      </c>
      <c r="Q221" s="160" t="s">
        <v>286</v>
      </c>
      <c r="R221" s="241"/>
      <c r="S221" s="241"/>
      <c r="T221" s="241"/>
      <c r="U221" s="241"/>
      <c r="V221" s="241"/>
      <c r="W221" s="241"/>
      <c r="X221" s="242"/>
      <c r="Y221" s="147"/>
      <c r="Z221" s="105"/>
      <c r="AA221" s="105"/>
      <c r="AB221" s="106"/>
      <c r="AC221" s="406"/>
      <c r="AD221" s="407"/>
      <c r="AE221" s="407"/>
      <c r="AF221" s="408"/>
      <c r="AI221" s="119" t="str">
        <f>"26:" &amp; IF(AND(I221="□",P221="□",I222="□"),"tokusin_jyusho_code:0:tokusin_yakuzai_code:0:shuudan_comu_code:0",IF(I221="■","tokusin_jyusho_code:2","tokusin_jyusho_code:1")
&amp;IF(P221="■",":tokusin_yakuzai_code:2",":tokusin_yakuzai_code:1")
&amp;IF(I222="■",":shuudan_comu_code:2",":shuudan_comu_code:1"))</f>
        <v>26:tokusin_jyusho_code:0:tokusin_yakuzai_code:0:shuudan_comu_code:0</v>
      </c>
    </row>
    <row r="222" spans="1:36" ht="18.75" customHeight="1" x14ac:dyDescent="0.15">
      <c r="A222" s="107"/>
      <c r="B222" s="108"/>
      <c r="C222" s="109"/>
      <c r="D222" s="110"/>
      <c r="E222" s="113"/>
      <c r="F222" s="128" t="s">
        <v>348</v>
      </c>
      <c r="G222" s="111" t="s">
        <v>312</v>
      </c>
      <c r="H222" s="371"/>
      <c r="I222" s="128" t="s">
        <v>348</v>
      </c>
      <c r="J222" s="115" t="s">
        <v>299</v>
      </c>
      <c r="K222" s="145"/>
      <c r="L222" s="145"/>
      <c r="M222" s="145"/>
      <c r="N222" s="145"/>
      <c r="O222" s="145"/>
      <c r="P222" s="145"/>
      <c r="Q222" s="144"/>
      <c r="R222" s="145"/>
      <c r="S222" s="145"/>
      <c r="T222" s="145"/>
      <c r="U222" s="145"/>
      <c r="V222" s="145"/>
      <c r="W222" s="145"/>
      <c r="X222" s="146"/>
      <c r="Y222" s="147"/>
      <c r="Z222" s="105"/>
      <c r="AA222" s="105"/>
      <c r="AB222" s="106"/>
      <c r="AC222" s="406"/>
      <c r="AD222" s="407"/>
      <c r="AE222" s="407"/>
      <c r="AF222" s="408"/>
    </row>
    <row r="223" spans="1:36" ht="18.75" customHeight="1" x14ac:dyDescent="0.15">
      <c r="A223" s="107"/>
      <c r="B223" s="108"/>
      <c r="C223" s="109"/>
      <c r="D223" s="110"/>
      <c r="E223" s="113"/>
      <c r="F223" s="110"/>
      <c r="G223" s="111" t="s">
        <v>313</v>
      </c>
      <c r="H223" s="240" t="s">
        <v>385</v>
      </c>
      <c r="I223" s="194" t="s">
        <v>348</v>
      </c>
      <c r="J223" s="149" t="s">
        <v>216</v>
      </c>
      <c r="K223" s="149"/>
      <c r="L223" s="152" t="s">
        <v>348</v>
      </c>
      <c r="M223" s="149" t="s">
        <v>217</v>
      </c>
      <c r="N223" s="149"/>
      <c r="O223" s="152" t="s">
        <v>348</v>
      </c>
      <c r="P223" s="149" t="s">
        <v>218</v>
      </c>
      <c r="Q223" s="154"/>
      <c r="R223" s="154"/>
      <c r="S223" s="154"/>
      <c r="T223" s="154"/>
      <c r="U223" s="241"/>
      <c r="V223" s="241"/>
      <c r="W223" s="241"/>
      <c r="X223" s="242"/>
      <c r="Y223" s="147"/>
      <c r="Z223" s="105"/>
      <c r="AA223" s="105"/>
      <c r="AB223" s="106"/>
      <c r="AC223" s="406"/>
      <c r="AD223" s="407"/>
      <c r="AE223" s="407"/>
      <c r="AF223" s="408"/>
      <c r="AI223" s="119" t="str">
        <f>"26:field225:" &amp; IF(I223="■",1,IF(L223="■",2,IF(O223="■",3,0)))</f>
        <v>26:field225:0</v>
      </c>
    </row>
    <row r="224" spans="1:36" ht="18.75" customHeight="1" x14ac:dyDescent="0.15">
      <c r="A224" s="107"/>
      <c r="B224" s="108"/>
      <c r="C224" s="109"/>
      <c r="D224" s="110"/>
      <c r="E224" s="113"/>
      <c r="F224" s="128" t="s">
        <v>348</v>
      </c>
      <c r="G224" s="111" t="s">
        <v>314</v>
      </c>
      <c r="H224" s="370" t="s">
        <v>102</v>
      </c>
      <c r="I224" s="194" t="s">
        <v>348</v>
      </c>
      <c r="J224" s="160" t="s">
        <v>300</v>
      </c>
      <c r="K224" s="168"/>
      <c r="L224" s="205"/>
      <c r="M224" s="195" t="s">
        <v>348</v>
      </c>
      <c r="N224" s="160" t="s">
        <v>301</v>
      </c>
      <c r="O224" s="241"/>
      <c r="P224" s="241"/>
      <c r="Q224" s="195" t="s">
        <v>348</v>
      </c>
      <c r="R224" s="160" t="s">
        <v>302</v>
      </c>
      <c r="S224" s="241"/>
      <c r="T224" s="241"/>
      <c r="U224" s="241"/>
      <c r="V224" s="241"/>
      <c r="W224" s="241"/>
      <c r="X224" s="242"/>
      <c r="Y224" s="147"/>
      <c r="Z224" s="105"/>
      <c r="AA224" s="105"/>
      <c r="AB224" s="106"/>
      <c r="AC224" s="406"/>
      <c r="AD224" s="407"/>
      <c r="AE224" s="407"/>
      <c r="AF224" s="408"/>
      <c r="AI224" s="119" t="str">
        <f>"26:"&amp;IF(AND(I224="□",M224="□",Q224="□",I225="□",Q225="□"),"koriha_rryoho1_code:0:koriha_sryoho_code:0:koriha_gengo_code:0:riha_seisin_code:0:koriha_other_code:0",IF(I224="■","koriha_rryoho1_code:2","koriha_rryoho1_code:1")
&amp;IF(M224="■",":koriha_sryoho_code:2",":koriha_sryoho_code:1")
&amp;IF(Q224="■",":koriha_gengo_code:2",":koriha_gengo_code:1")
&amp;IF(I225="■",":riha_seisin_code:2",":riha_seisin_code:1")
&amp;IF(Q225="■",":koriha_other_code:2",":koriha_other_code:1"))</f>
        <v>26:koriha_rryoho1_code:0:koriha_sryoho_code:0:koriha_gengo_code:0:riha_seisin_code:0:koriha_other_code:0</v>
      </c>
    </row>
    <row r="225" spans="1:36" ht="18.75" customHeight="1" x14ac:dyDescent="0.15">
      <c r="A225" s="107"/>
      <c r="B225" s="108"/>
      <c r="C225" s="109"/>
      <c r="D225" s="110"/>
      <c r="E225" s="113"/>
      <c r="F225" s="110"/>
      <c r="G225" s="111"/>
      <c r="H225" s="371"/>
      <c r="I225" s="128" t="s">
        <v>348</v>
      </c>
      <c r="J225" s="115" t="s">
        <v>303</v>
      </c>
      <c r="K225" s="145"/>
      <c r="L225" s="145"/>
      <c r="M225" s="145"/>
      <c r="N225" s="145"/>
      <c r="O225" s="145"/>
      <c r="P225" s="145"/>
      <c r="Q225" s="191" t="s">
        <v>348</v>
      </c>
      <c r="R225" s="115" t="s">
        <v>304</v>
      </c>
      <c r="S225" s="144"/>
      <c r="T225" s="145"/>
      <c r="U225" s="145"/>
      <c r="V225" s="145"/>
      <c r="W225" s="145"/>
      <c r="X225" s="146"/>
      <c r="Y225" s="147"/>
      <c r="Z225" s="105"/>
      <c r="AA225" s="105"/>
      <c r="AB225" s="106"/>
      <c r="AC225" s="406"/>
      <c r="AD225" s="407"/>
      <c r="AE225" s="407"/>
      <c r="AF225" s="408"/>
      <c r="AI225" s="119"/>
    </row>
    <row r="226" spans="1:36" ht="18.75" customHeight="1" x14ac:dyDescent="0.15">
      <c r="A226" s="107"/>
      <c r="B226" s="108"/>
      <c r="C226" s="109"/>
      <c r="D226" s="110"/>
      <c r="E226" s="113"/>
      <c r="F226" s="110"/>
      <c r="G226" s="111"/>
      <c r="H226" s="230" t="s">
        <v>111</v>
      </c>
      <c r="I226" s="194" t="s">
        <v>348</v>
      </c>
      <c r="J226" s="149" t="s">
        <v>216</v>
      </c>
      <c r="K226" s="149"/>
      <c r="L226" s="152" t="s">
        <v>348</v>
      </c>
      <c r="M226" s="149" t="s">
        <v>224</v>
      </c>
      <c r="N226" s="149"/>
      <c r="O226" s="152" t="s">
        <v>348</v>
      </c>
      <c r="P226" s="149" t="s">
        <v>225</v>
      </c>
      <c r="Q226" s="196"/>
      <c r="R226" s="152" t="s">
        <v>348</v>
      </c>
      <c r="S226" s="149" t="s">
        <v>248</v>
      </c>
      <c r="T226" s="196"/>
      <c r="U226" s="196"/>
      <c r="V226" s="196"/>
      <c r="W226" s="196"/>
      <c r="X226" s="197"/>
      <c r="Y226" s="147"/>
      <c r="Z226" s="105"/>
      <c r="AA226" s="105"/>
      <c r="AB226" s="106"/>
      <c r="AC226" s="406"/>
      <c r="AD226" s="407"/>
      <c r="AE226" s="407"/>
      <c r="AF226" s="408"/>
      <c r="AI226" s="119" t="str">
        <f>"26:serteikyo_kyoka_code:" &amp; IF(I226="■",1,IF(L226="■",6,IF(O226="■",5,IF(R226="■",7,0))))</f>
        <v>26:serteikyo_kyoka_code:0</v>
      </c>
    </row>
    <row r="227" spans="1:36" ht="18.75" customHeight="1" x14ac:dyDescent="0.15">
      <c r="A227" s="107"/>
      <c r="B227" s="108"/>
      <c r="C227" s="109"/>
      <c r="D227" s="110"/>
      <c r="E227" s="113"/>
      <c r="F227" s="110"/>
      <c r="G227" s="111"/>
      <c r="H227" s="329" t="s">
        <v>409</v>
      </c>
      <c r="I227" s="360" t="s">
        <v>348</v>
      </c>
      <c r="J227" s="359" t="s">
        <v>216</v>
      </c>
      <c r="K227" s="359"/>
      <c r="L227" s="360" t="s">
        <v>348</v>
      </c>
      <c r="M227" s="359" t="s">
        <v>232</v>
      </c>
      <c r="N227" s="359"/>
      <c r="O227" s="198"/>
      <c r="P227" s="198"/>
      <c r="Q227" s="198"/>
      <c r="R227" s="198"/>
      <c r="S227" s="198"/>
      <c r="T227" s="198"/>
      <c r="U227" s="198"/>
      <c r="V227" s="198"/>
      <c r="W227" s="198"/>
      <c r="X227" s="199"/>
      <c r="Y227" s="147"/>
      <c r="Z227" s="105"/>
      <c r="AA227" s="105"/>
      <c r="AB227" s="106"/>
      <c r="AC227" s="406"/>
      <c r="AD227" s="407"/>
      <c r="AE227" s="407"/>
      <c r="AF227" s="408"/>
      <c r="AI227" s="119" t="str">
        <f>"26:field221:" &amp; IF(I227="■",1,IF(L227="■",2,0))</f>
        <v>26:field221:0</v>
      </c>
    </row>
    <row r="228" spans="1:36" ht="18.75" customHeight="1" x14ac:dyDescent="0.15">
      <c r="A228" s="107"/>
      <c r="B228" s="108"/>
      <c r="C228" s="109"/>
      <c r="D228" s="110"/>
      <c r="E228" s="113"/>
      <c r="F228" s="110"/>
      <c r="G228" s="111"/>
      <c r="H228" s="328"/>
      <c r="I228" s="360"/>
      <c r="J228" s="359"/>
      <c r="K228" s="359"/>
      <c r="L228" s="360"/>
      <c r="M228" s="359"/>
      <c r="N228" s="359"/>
      <c r="O228" s="144"/>
      <c r="P228" s="144"/>
      <c r="Q228" s="144"/>
      <c r="R228" s="144"/>
      <c r="S228" s="144"/>
      <c r="T228" s="144"/>
      <c r="U228" s="144"/>
      <c r="V228" s="144"/>
      <c r="W228" s="144"/>
      <c r="X228" s="226"/>
      <c r="Y228" s="147"/>
      <c r="Z228" s="105"/>
      <c r="AA228" s="105"/>
      <c r="AB228" s="106"/>
      <c r="AC228" s="406"/>
      <c r="AD228" s="407"/>
      <c r="AE228" s="407"/>
      <c r="AF228" s="408"/>
    </row>
    <row r="229" spans="1:36" ht="18.75" customHeight="1" x14ac:dyDescent="0.15">
      <c r="A229" s="170"/>
      <c r="B229" s="171"/>
      <c r="C229" s="172"/>
      <c r="D229" s="173"/>
      <c r="E229" s="174"/>
      <c r="F229" s="175"/>
      <c r="G229" s="176"/>
      <c r="H229" s="95" t="s">
        <v>405</v>
      </c>
      <c r="I229" s="177" t="s">
        <v>348</v>
      </c>
      <c r="J229" s="96" t="s">
        <v>216</v>
      </c>
      <c r="K229" s="96"/>
      <c r="L229" s="178" t="s">
        <v>348</v>
      </c>
      <c r="M229" s="96" t="s">
        <v>373</v>
      </c>
      <c r="N229" s="97"/>
      <c r="O229" s="178" t="s">
        <v>348</v>
      </c>
      <c r="P229" s="99" t="s">
        <v>374</v>
      </c>
      <c r="Q229" s="98"/>
      <c r="R229" s="178" t="s">
        <v>348</v>
      </c>
      <c r="S229" s="96" t="s">
        <v>375</v>
      </c>
      <c r="T229" s="98"/>
      <c r="U229" s="178" t="s">
        <v>348</v>
      </c>
      <c r="V229" s="96" t="s">
        <v>376</v>
      </c>
      <c r="W229" s="100"/>
      <c r="X229" s="101"/>
      <c r="Y229" s="179"/>
      <c r="Z229" s="179"/>
      <c r="AA229" s="179"/>
      <c r="AB229" s="180"/>
      <c r="AC229" s="409"/>
      <c r="AD229" s="410"/>
      <c r="AE229" s="410"/>
      <c r="AF229" s="411"/>
      <c r="AG229" s="119"/>
      <c r="AH229" s="119"/>
      <c r="AI229" s="119" t="str">
        <f>"26:shoguukaizen_code:"&amp;IF(I229="■",1,IF(L229="■",7,IF(O229="■",8,IF(R229="■",9,IF(U229="■","A",0)))))</f>
        <v>26:shoguukaizen_code:0</v>
      </c>
    </row>
    <row r="230" spans="1:36" ht="18.75" customHeight="1" x14ac:dyDescent="0.15">
      <c r="A230" s="130"/>
      <c r="B230" s="131"/>
      <c r="C230" s="132"/>
      <c r="D230" s="133"/>
      <c r="E230" s="126"/>
      <c r="F230" s="134"/>
      <c r="G230" s="126"/>
      <c r="H230" s="361" t="s">
        <v>96</v>
      </c>
      <c r="I230" s="140" t="s">
        <v>348</v>
      </c>
      <c r="J230" s="124" t="s">
        <v>265</v>
      </c>
      <c r="K230" s="137"/>
      <c r="L230" s="231"/>
      <c r="M230" s="136" t="s">
        <v>348</v>
      </c>
      <c r="N230" s="124" t="s">
        <v>293</v>
      </c>
      <c r="O230" s="232"/>
      <c r="P230" s="232"/>
      <c r="Q230" s="136" t="s">
        <v>348</v>
      </c>
      <c r="R230" s="124" t="s">
        <v>294</v>
      </c>
      <c r="S230" s="232"/>
      <c r="T230" s="232"/>
      <c r="U230" s="136" t="s">
        <v>348</v>
      </c>
      <c r="V230" s="124" t="s">
        <v>295</v>
      </c>
      <c r="W230" s="232"/>
      <c r="X230" s="213"/>
      <c r="Y230" s="136" t="s">
        <v>348</v>
      </c>
      <c r="Z230" s="124" t="s">
        <v>215</v>
      </c>
      <c r="AA230" s="124"/>
      <c r="AB230" s="139"/>
      <c r="AC230" s="403"/>
      <c r="AD230" s="404"/>
      <c r="AE230" s="404"/>
      <c r="AF230" s="405"/>
      <c r="AG230" s="119" t="str">
        <f>"ser_code = '" &amp; IF(A241="■",26,"") &amp; "'"</f>
        <v>ser_code = ''</v>
      </c>
      <c r="AH230" s="119" t="str">
        <f>"26:jininkbn_code:" &amp; IF(F239="■",1,IF(F241="■",2,IF(F243="■",3,0)))</f>
        <v>26:jininkbn_code:0</v>
      </c>
      <c r="AI230" s="119" t="str">
        <f>"26:yakan_kinmu_code:" &amp; IF(I230="■",1,IF(M230="■",2,IF(Q230="■",3,IF(U230="■",7,IF(I231="■",5,IF(M231="■",6,0))))))</f>
        <v>26:yakan_kinmu_code:0</v>
      </c>
      <c r="AJ230" s="119" t="str">
        <f>"26:field203:" &amp; IF(Y230="■",1,IF(Y231="■",2,0))</f>
        <v>26:field203:0</v>
      </c>
    </row>
    <row r="231" spans="1:36" ht="18.75" customHeight="1" x14ac:dyDescent="0.15">
      <c r="A231" s="107"/>
      <c r="B231" s="108"/>
      <c r="C231" s="109"/>
      <c r="D231" s="110"/>
      <c r="E231" s="111"/>
      <c r="F231" s="112"/>
      <c r="G231" s="111"/>
      <c r="H231" s="362"/>
      <c r="I231" s="128" t="s">
        <v>348</v>
      </c>
      <c r="J231" s="115" t="s">
        <v>296</v>
      </c>
      <c r="K231" s="166"/>
      <c r="L231" s="116"/>
      <c r="M231" s="191" t="s">
        <v>348</v>
      </c>
      <c r="N231" s="115" t="s">
        <v>266</v>
      </c>
      <c r="O231" s="144"/>
      <c r="P231" s="144"/>
      <c r="Q231" s="144"/>
      <c r="R231" s="144"/>
      <c r="S231" s="144"/>
      <c r="T231" s="144"/>
      <c r="U231" s="144"/>
      <c r="V231" s="144"/>
      <c r="W231" s="144"/>
      <c r="X231" s="226"/>
      <c r="Y231" s="123" t="s">
        <v>348</v>
      </c>
      <c r="Z231" s="104" t="s">
        <v>221</v>
      </c>
      <c r="AA231" s="105"/>
      <c r="AB231" s="106"/>
      <c r="AC231" s="406"/>
      <c r="AD231" s="407"/>
      <c r="AE231" s="407"/>
      <c r="AF231" s="408"/>
      <c r="AG231" s="119" t="str">
        <f>"26:sisetukbn_code:" &amp; IF(D241="■",6,0)</f>
        <v>26:sisetukbn_code:0</v>
      </c>
      <c r="AH231" s="119"/>
      <c r="AI231" s="119"/>
      <c r="AJ231" s="119"/>
    </row>
    <row r="232" spans="1:36" ht="18.75" customHeight="1" x14ac:dyDescent="0.15">
      <c r="A232" s="107"/>
      <c r="B232" s="108"/>
      <c r="C232" s="109"/>
      <c r="D232" s="110"/>
      <c r="E232" s="111"/>
      <c r="F232" s="112"/>
      <c r="G232" s="111"/>
      <c r="H232" s="230" t="s">
        <v>92</v>
      </c>
      <c r="I232" s="194" t="s">
        <v>348</v>
      </c>
      <c r="J232" s="149" t="s">
        <v>216</v>
      </c>
      <c r="K232" s="149"/>
      <c r="L232" s="151"/>
      <c r="M232" s="152" t="s">
        <v>348</v>
      </c>
      <c r="N232" s="149" t="s">
        <v>254</v>
      </c>
      <c r="O232" s="149"/>
      <c r="P232" s="151"/>
      <c r="Q232" s="152" t="s">
        <v>348</v>
      </c>
      <c r="R232" s="196" t="s">
        <v>255</v>
      </c>
      <c r="S232" s="196"/>
      <c r="T232" s="196"/>
      <c r="U232" s="152" t="s">
        <v>348</v>
      </c>
      <c r="V232" s="196" t="s">
        <v>256</v>
      </c>
      <c r="W232" s="154"/>
      <c r="X232" s="155"/>
      <c r="Y232" s="147"/>
      <c r="Z232" s="105"/>
      <c r="AA232" s="105"/>
      <c r="AB232" s="106"/>
      <c r="AC232" s="406"/>
      <c r="AD232" s="407"/>
      <c r="AE232" s="407"/>
      <c r="AF232" s="408"/>
      <c r="AG232" s="119"/>
      <c r="AH232" s="119"/>
      <c r="AI232" s="119" t="str">
        <f>"26:"&amp;IF(AND(I232="□",M232="□",Q232="□",U232="□"),"ketu_doctor_code:0",IF(I232="■","ketu_doctor_code:1:ketu_kangos_code:1:ketu_kshoku_code:1",
IF(M232="■","ketu_doctor_code:2","ketu_doctor_code:1")
&amp;IF(Q232="■",":ketu_kangos_code:2",":ketu_kangos_code:1")
&amp;IF(U232="■",":ketu_kshoku_code:2",":ketu_kshoku_code:1")))</f>
        <v>26:ketu_doctor_code:0</v>
      </c>
      <c r="AJ232" s="119"/>
    </row>
    <row r="233" spans="1:36" ht="18.75" customHeight="1" x14ac:dyDescent="0.15">
      <c r="A233" s="107"/>
      <c r="B233" s="108"/>
      <c r="C233" s="109"/>
      <c r="D233" s="110"/>
      <c r="E233" s="111"/>
      <c r="F233" s="112"/>
      <c r="G233" s="111"/>
      <c r="H233" s="230" t="s">
        <v>97</v>
      </c>
      <c r="I233" s="194" t="s">
        <v>348</v>
      </c>
      <c r="J233" s="149" t="s">
        <v>230</v>
      </c>
      <c r="K233" s="150"/>
      <c r="L233" s="151"/>
      <c r="M233" s="152" t="s">
        <v>348</v>
      </c>
      <c r="N233" s="149" t="s">
        <v>231</v>
      </c>
      <c r="O233" s="154"/>
      <c r="P233" s="154"/>
      <c r="Q233" s="154"/>
      <c r="R233" s="154"/>
      <c r="S233" s="154"/>
      <c r="T233" s="154"/>
      <c r="U233" s="154"/>
      <c r="V233" s="154"/>
      <c r="W233" s="154"/>
      <c r="X233" s="155"/>
      <c r="Y233" s="147"/>
      <c r="Z233" s="105"/>
      <c r="AA233" s="105"/>
      <c r="AB233" s="106"/>
      <c r="AC233" s="406"/>
      <c r="AD233" s="407"/>
      <c r="AE233" s="407"/>
      <c r="AF233" s="408"/>
      <c r="AG233" s="119"/>
      <c r="AH233" s="119"/>
      <c r="AI233" s="119" t="str">
        <f>"26:unitcare_code:" &amp; IF(I233="■",1,IF(M233="■",2,0))</f>
        <v>26:unitcare_code:0</v>
      </c>
      <c r="AJ233" s="119"/>
    </row>
    <row r="234" spans="1:36" s="119" customFormat="1" ht="18.75" customHeight="1" x14ac:dyDescent="0.15">
      <c r="A234" s="107"/>
      <c r="B234" s="108"/>
      <c r="C234" s="238"/>
      <c r="D234" s="239"/>
      <c r="E234" s="111"/>
      <c r="F234" s="112"/>
      <c r="G234" s="113"/>
      <c r="H234" s="230" t="s">
        <v>103</v>
      </c>
      <c r="I234" s="148" t="s">
        <v>348</v>
      </c>
      <c r="J234" s="149" t="s">
        <v>360</v>
      </c>
      <c r="K234" s="150"/>
      <c r="L234" s="151"/>
      <c r="M234" s="152" t="s">
        <v>348</v>
      </c>
      <c r="N234" s="149" t="s">
        <v>361</v>
      </c>
      <c r="O234" s="150"/>
      <c r="P234" s="150"/>
      <c r="Q234" s="150"/>
      <c r="R234" s="150"/>
      <c r="S234" s="150"/>
      <c r="T234" s="150"/>
      <c r="U234" s="150"/>
      <c r="V234" s="150"/>
      <c r="W234" s="150"/>
      <c r="X234" s="159"/>
      <c r="Y234" s="147"/>
      <c r="Z234" s="105"/>
      <c r="AA234" s="105"/>
      <c r="AB234" s="106"/>
      <c r="AC234" s="406"/>
      <c r="AD234" s="407"/>
      <c r="AE234" s="407"/>
      <c r="AF234" s="408"/>
      <c r="AI234" s="119" t="str">
        <f>"26:sintaikousoku_code:" &amp; IF(I234="■",1,IF(M234="■",2,0))</f>
        <v>26:sintaikousoku_code:0</v>
      </c>
    </row>
    <row r="235" spans="1:36" ht="19.5" customHeight="1" x14ac:dyDescent="0.15">
      <c r="A235" s="107"/>
      <c r="B235" s="108"/>
      <c r="C235" s="109"/>
      <c r="D235" s="110"/>
      <c r="E235" s="111"/>
      <c r="F235" s="112"/>
      <c r="G235" s="113"/>
      <c r="H235" s="114" t="s">
        <v>369</v>
      </c>
      <c r="I235" s="194" t="s">
        <v>348</v>
      </c>
      <c r="J235" s="149" t="s">
        <v>360</v>
      </c>
      <c r="K235" s="150"/>
      <c r="L235" s="151"/>
      <c r="M235" s="152" t="s">
        <v>348</v>
      </c>
      <c r="N235" s="149" t="s">
        <v>370</v>
      </c>
      <c r="O235" s="149"/>
      <c r="P235" s="149"/>
      <c r="Q235" s="154"/>
      <c r="R235" s="154"/>
      <c r="S235" s="154"/>
      <c r="T235" s="154"/>
      <c r="U235" s="154"/>
      <c r="V235" s="154"/>
      <c r="W235" s="154"/>
      <c r="X235" s="155"/>
      <c r="Y235" s="105"/>
      <c r="Z235" s="105"/>
      <c r="AA235" s="105"/>
      <c r="AB235" s="106"/>
      <c r="AC235" s="406"/>
      <c r="AD235" s="407"/>
      <c r="AE235" s="407"/>
      <c r="AF235" s="408"/>
      <c r="AG235" s="119"/>
      <c r="AH235" s="119"/>
      <c r="AI235" s="119" t="str">
        <f>"26:field223:" &amp; IF(I235="■",1,IF(M235="■",2,0))</f>
        <v>26:field223:0</v>
      </c>
      <c r="AJ235" s="119"/>
    </row>
    <row r="236" spans="1:36" ht="19.5" customHeight="1" x14ac:dyDescent="0.15">
      <c r="A236" s="107"/>
      <c r="B236" s="108"/>
      <c r="C236" s="109"/>
      <c r="D236" s="110"/>
      <c r="E236" s="111"/>
      <c r="F236" s="112"/>
      <c r="G236" s="113"/>
      <c r="H236" s="114" t="s">
        <v>390</v>
      </c>
      <c r="I236" s="194" t="s">
        <v>348</v>
      </c>
      <c r="J236" s="115" t="s">
        <v>360</v>
      </c>
      <c r="K236" s="166"/>
      <c r="L236" s="116"/>
      <c r="M236" s="191" t="s">
        <v>348</v>
      </c>
      <c r="N236" s="115" t="s">
        <v>370</v>
      </c>
      <c r="O236" s="115"/>
      <c r="P236" s="115"/>
      <c r="Q236" s="145"/>
      <c r="R236" s="145"/>
      <c r="S236" s="145"/>
      <c r="T236" s="145"/>
      <c r="U236" s="145"/>
      <c r="V236" s="145"/>
      <c r="W236" s="145"/>
      <c r="X236" s="146"/>
      <c r="Y236" s="105"/>
      <c r="Z236" s="104"/>
      <c r="AA236" s="105"/>
      <c r="AB236" s="106"/>
      <c r="AC236" s="406"/>
      <c r="AD236" s="407"/>
      <c r="AE236" s="407"/>
      <c r="AF236" s="408"/>
      <c r="AG236" s="119"/>
      <c r="AH236" s="119"/>
      <c r="AI236" s="119" t="str">
        <f>"26:field232:" &amp; IF(I236="■",1,IF(M236="■",2,0))</f>
        <v>26:field232:0</v>
      </c>
      <c r="AJ236" s="119"/>
    </row>
    <row r="237" spans="1:36" ht="18.75" customHeight="1" x14ac:dyDescent="0.15">
      <c r="A237" s="107"/>
      <c r="B237" s="108"/>
      <c r="C237" s="109"/>
      <c r="D237" s="110"/>
      <c r="E237" s="111"/>
      <c r="F237" s="112"/>
      <c r="G237" s="111"/>
      <c r="H237" s="230" t="s">
        <v>430</v>
      </c>
      <c r="I237" s="194" t="s">
        <v>348</v>
      </c>
      <c r="J237" s="149" t="s">
        <v>265</v>
      </c>
      <c r="K237" s="150"/>
      <c r="L237" s="151"/>
      <c r="M237" s="152" t="s">
        <v>348</v>
      </c>
      <c r="N237" s="149" t="s">
        <v>297</v>
      </c>
      <c r="O237" s="196"/>
      <c r="P237" s="196"/>
      <c r="Q237" s="196"/>
      <c r="R237" s="196"/>
      <c r="S237" s="196"/>
      <c r="T237" s="196"/>
      <c r="U237" s="196"/>
      <c r="V237" s="196"/>
      <c r="W237" s="196"/>
      <c r="X237" s="197"/>
      <c r="Y237" s="147"/>
      <c r="Z237" s="105"/>
      <c r="AA237" s="105"/>
      <c r="AB237" s="106"/>
      <c r="AC237" s="406"/>
      <c r="AD237" s="407"/>
      <c r="AE237" s="407"/>
      <c r="AF237" s="408"/>
      <c r="AG237" s="119"/>
      <c r="AH237" s="119"/>
      <c r="AI237" s="119" t="str">
        <f>"26:ryokan_code:" &amp; IF(I237="■",1,IF(M237="■",2,0))</f>
        <v>26:ryokan_code:0</v>
      </c>
      <c r="AJ237" s="119"/>
    </row>
    <row r="238" spans="1:36" ht="18.75" customHeight="1" x14ac:dyDescent="0.15">
      <c r="A238" s="107"/>
      <c r="B238" s="108"/>
      <c r="C238" s="109"/>
      <c r="D238" s="110"/>
      <c r="E238" s="111"/>
      <c r="F238" s="112"/>
      <c r="G238" s="111"/>
      <c r="H238" s="230" t="s">
        <v>100</v>
      </c>
      <c r="I238" s="194" t="s">
        <v>348</v>
      </c>
      <c r="J238" s="149" t="s">
        <v>367</v>
      </c>
      <c r="K238" s="150"/>
      <c r="L238" s="151"/>
      <c r="M238" s="152" t="s">
        <v>348</v>
      </c>
      <c r="N238" s="149" t="s">
        <v>298</v>
      </c>
      <c r="O238" s="154"/>
      <c r="P238" s="154"/>
      <c r="Q238" s="154"/>
      <c r="R238" s="196"/>
      <c r="S238" s="154"/>
      <c r="T238" s="154"/>
      <c r="U238" s="154"/>
      <c r="V238" s="154"/>
      <c r="W238" s="154"/>
      <c r="X238" s="155"/>
      <c r="Y238" s="147"/>
      <c r="Z238" s="105"/>
      <c r="AA238" s="105"/>
      <c r="AB238" s="106"/>
      <c r="AC238" s="406"/>
      <c r="AD238" s="407"/>
      <c r="AE238" s="407"/>
      <c r="AF238" s="408"/>
      <c r="AG238" s="119"/>
      <c r="AH238" s="119"/>
      <c r="AI238" s="119" t="str">
        <f>"26:doctor_haiti_code:" &amp; IF(I238="■",1,IF(M238="■",2,0))</f>
        <v>26:doctor_haiti_code:0</v>
      </c>
      <c r="AJ238" s="119"/>
    </row>
    <row r="239" spans="1:36" ht="18.75" customHeight="1" x14ac:dyDescent="0.15">
      <c r="A239" s="107"/>
      <c r="B239" s="108"/>
      <c r="C239" s="109"/>
      <c r="D239" s="110"/>
      <c r="E239" s="111"/>
      <c r="F239" s="128" t="s">
        <v>348</v>
      </c>
      <c r="G239" s="111" t="s">
        <v>316</v>
      </c>
      <c r="H239" s="230" t="s">
        <v>424</v>
      </c>
      <c r="I239" s="194" t="s">
        <v>348</v>
      </c>
      <c r="J239" s="149" t="s">
        <v>216</v>
      </c>
      <c r="K239" s="150"/>
      <c r="L239" s="152" t="s">
        <v>348</v>
      </c>
      <c r="M239" s="149" t="s">
        <v>232</v>
      </c>
      <c r="N239" s="154"/>
      <c r="O239" s="154"/>
      <c r="P239" s="154"/>
      <c r="Q239" s="154"/>
      <c r="R239" s="154"/>
      <c r="S239" s="154"/>
      <c r="T239" s="154"/>
      <c r="U239" s="154"/>
      <c r="V239" s="154"/>
      <c r="W239" s="154"/>
      <c r="X239" s="155"/>
      <c r="Y239" s="147"/>
      <c r="Z239" s="105"/>
      <c r="AA239" s="105"/>
      <c r="AB239" s="106"/>
      <c r="AC239" s="406"/>
      <c r="AD239" s="407"/>
      <c r="AE239" s="407"/>
      <c r="AF239" s="408"/>
      <c r="AG239" s="119"/>
      <c r="AH239" s="119"/>
      <c r="AI239" s="119" t="str">
        <f>"26:jyakuninti_uke_code:" &amp; IF(I239="■",1,IF(L239="■",2,0))</f>
        <v>26:jyakuninti_uke_code:0</v>
      </c>
      <c r="AJ239" s="119"/>
    </row>
    <row r="240" spans="1:36" ht="18.75" customHeight="1" x14ac:dyDescent="0.15">
      <c r="A240" s="107"/>
      <c r="B240" s="108"/>
      <c r="C240" s="109"/>
      <c r="D240" s="110"/>
      <c r="E240" s="111"/>
      <c r="F240" s="112"/>
      <c r="G240" s="111" t="s">
        <v>317</v>
      </c>
      <c r="H240" s="230" t="s">
        <v>94</v>
      </c>
      <c r="I240" s="194" t="s">
        <v>348</v>
      </c>
      <c r="J240" s="149" t="s">
        <v>230</v>
      </c>
      <c r="K240" s="150"/>
      <c r="L240" s="151"/>
      <c r="M240" s="152" t="s">
        <v>348</v>
      </c>
      <c r="N240" s="149" t="s">
        <v>231</v>
      </c>
      <c r="O240" s="154"/>
      <c r="P240" s="154"/>
      <c r="Q240" s="154"/>
      <c r="R240" s="154"/>
      <c r="S240" s="154"/>
      <c r="T240" s="154"/>
      <c r="U240" s="154"/>
      <c r="V240" s="154"/>
      <c r="W240" s="154"/>
      <c r="X240" s="155"/>
      <c r="Y240" s="147"/>
      <c r="Z240" s="105"/>
      <c r="AA240" s="105"/>
      <c r="AB240" s="106"/>
      <c r="AC240" s="406"/>
      <c r="AD240" s="407"/>
      <c r="AE240" s="407"/>
      <c r="AF240" s="408"/>
      <c r="AG240" s="119"/>
      <c r="AH240" s="119"/>
      <c r="AI240" s="119" t="str">
        <f>"26:sougei_code:" &amp; IF(I240="■",1,IF(M240="■",2,0))</f>
        <v>26:sougei_code:0</v>
      </c>
      <c r="AJ240" s="119"/>
    </row>
    <row r="241" spans="1:36" ht="19.5" customHeight="1" x14ac:dyDescent="0.15">
      <c r="A241" s="128" t="s">
        <v>348</v>
      </c>
      <c r="B241" s="108">
        <v>26</v>
      </c>
      <c r="C241" s="109" t="s">
        <v>427</v>
      </c>
      <c r="D241" s="128" t="s">
        <v>364</v>
      </c>
      <c r="E241" s="111" t="s">
        <v>432</v>
      </c>
      <c r="F241" s="128" t="s">
        <v>348</v>
      </c>
      <c r="G241" s="111" t="s">
        <v>318</v>
      </c>
      <c r="H241" s="114" t="s">
        <v>372</v>
      </c>
      <c r="I241" s="194" t="s">
        <v>348</v>
      </c>
      <c r="J241" s="149" t="s">
        <v>216</v>
      </c>
      <c r="K241" s="149"/>
      <c r="L241" s="152" t="s">
        <v>348</v>
      </c>
      <c r="M241" s="149" t="s">
        <v>232</v>
      </c>
      <c r="N241" s="149"/>
      <c r="O241" s="154"/>
      <c r="P241" s="149"/>
      <c r="Q241" s="154"/>
      <c r="R241" s="154"/>
      <c r="S241" s="154"/>
      <c r="T241" s="154"/>
      <c r="U241" s="154"/>
      <c r="V241" s="154"/>
      <c r="W241" s="154"/>
      <c r="X241" s="155"/>
      <c r="Y241" s="105"/>
      <c r="Z241" s="105"/>
      <c r="AA241" s="105"/>
      <c r="AB241" s="106"/>
      <c r="AC241" s="406"/>
      <c r="AD241" s="407"/>
      <c r="AE241" s="407"/>
      <c r="AF241" s="408"/>
      <c r="AG241" s="119"/>
      <c r="AH241" s="119"/>
      <c r="AI241" s="119" t="str">
        <f>"26:field224:" &amp; IF(I241="■",1,IF(L241="■",2,0))</f>
        <v>26:field224:0</v>
      </c>
      <c r="AJ241" s="119"/>
    </row>
    <row r="242" spans="1:36" ht="18.75" customHeight="1" x14ac:dyDescent="0.15">
      <c r="A242" s="107"/>
      <c r="B242" s="108"/>
      <c r="C242" s="109"/>
      <c r="D242" s="110"/>
      <c r="E242" s="111"/>
      <c r="F242" s="112"/>
      <c r="G242" s="111" t="s">
        <v>319</v>
      </c>
      <c r="H242" s="230" t="s">
        <v>106</v>
      </c>
      <c r="I242" s="194" t="s">
        <v>348</v>
      </c>
      <c r="J242" s="149" t="s">
        <v>216</v>
      </c>
      <c r="K242" s="150"/>
      <c r="L242" s="152" t="s">
        <v>348</v>
      </c>
      <c r="M242" s="149" t="s">
        <v>232</v>
      </c>
      <c r="N242" s="154"/>
      <c r="O242" s="154"/>
      <c r="P242" s="154"/>
      <c r="Q242" s="154"/>
      <c r="R242" s="154"/>
      <c r="S242" s="154"/>
      <c r="T242" s="154"/>
      <c r="U242" s="154"/>
      <c r="V242" s="154"/>
      <c r="W242" s="154"/>
      <c r="X242" s="155"/>
      <c r="Y242" s="147"/>
      <c r="Z242" s="105"/>
      <c r="AA242" s="105"/>
      <c r="AB242" s="106"/>
      <c r="AC242" s="406"/>
      <c r="AD242" s="407"/>
      <c r="AE242" s="407"/>
      <c r="AF242" s="408"/>
      <c r="AG242" s="119"/>
      <c r="AH242" s="119"/>
      <c r="AI242" s="119" t="str">
        <f>"26:ryouyoushoku_code:" &amp; IF(I242="■",1,IF(L242="■",2,0))</f>
        <v>26:ryouyoushoku_code:0</v>
      </c>
      <c r="AJ242" s="119"/>
    </row>
    <row r="243" spans="1:36" ht="18.75" customHeight="1" x14ac:dyDescent="0.15">
      <c r="A243" s="107"/>
      <c r="B243" s="108"/>
      <c r="C243" s="109"/>
      <c r="D243" s="110"/>
      <c r="E243" s="111"/>
      <c r="F243" s="128" t="s">
        <v>348</v>
      </c>
      <c r="G243" s="111" t="s">
        <v>320</v>
      </c>
      <c r="H243" s="230" t="s">
        <v>165</v>
      </c>
      <c r="I243" s="194" t="s">
        <v>348</v>
      </c>
      <c r="J243" s="149" t="s">
        <v>216</v>
      </c>
      <c r="K243" s="149"/>
      <c r="L243" s="152" t="s">
        <v>348</v>
      </c>
      <c r="M243" s="149" t="s">
        <v>217</v>
      </c>
      <c r="N243" s="149"/>
      <c r="O243" s="152" t="s">
        <v>348</v>
      </c>
      <c r="P243" s="149" t="s">
        <v>218</v>
      </c>
      <c r="Q243" s="154"/>
      <c r="R243" s="154"/>
      <c r="S243" s="154"/>
      <c r="T243" s="154"/>
      <c r="U243" s="154"/>
      <c r="V243" s="154"/>
      <c r="W243" s="154"/>
      <c r="X243" s="155"/>
      <c r="Y243" s="147"/>
      <c r="Z243" s="105"/>
      <c r="AA243" s="105"/>
      <c r="AB243" s="106"/>
      <c r="AC243" s="406"/>
      <c r="AD243" s="407"/>
      <c r="AE243" s="407"/>
      <c r="AF243" s="408"/>
      <c r="AG243" s="119"/>
      <c r="AH243" s="119"/>
      <c r="AI243" s="119" t="str">
        <f>"26:ninti_senmoncare_code:" &amp; IF(I243="■",1,IF(O243="■",3,IF(L243="■",2,0)))</f>
        <v>26:ninti_senmoncare_code:0</v>
      </c>
      <c r="AJ243" s="119"/>
    </row>
    <row r="244" spans="1:36" ht="18.75" customHeight="1" x14ac:dyDescent="0.15">
      <c r="A244" s="107"/>
      <c r="B244" s="108"/>
      <c r="C244" s="109"/>
      <c r="D244" s="110"/>
      <c r="E244" s="111"/>
      <c r="F244" s="112"/>
      <c r="G244" s="111" t="s">
        <v>321</v>
      </c>
      <c r="H244" s="362" t="s">
        <v>101</v>
      </c>
      <c r="I244" s="194" t="s">
        <v>348</v>
      </c>
      <c r="J244" s="160" t="s">
        <v>285</v>
      </c>
      <c r="K244" s="160"/>
      <c r="L244" s="241"/>
      <c r="M244" s="241"/>
      <c r="N244" s="241"/>
      <c r="O244" s="241"/>
      <c r="P244" s="195" t="s">
        <v>348</v>
      </c>
      <c r="Q244" s="160" t="s">
        <v>286</v>
      </c>
      <c r="R244" s="241"/>
      <c r="S244" s="241"/>
      <c r="T244" s="241"/>
      <c r="U244" s="241"/>
      <c r="V244" s="241"/>
      <c r="W244" s="241"/>
      <c r="X244" s="242"/>
      <c r="Y244" s="147"/>
      <c r="Z244" s="105"/>
      <c r="AA244" s="105"/>
      <c r="AB244" s="106"/>
      <c r="AC244" s="406"/>
      <c r="AD244" s="407"/>
      <c r="AE244" s="407"/>
      <c r="AF244" s="408"/>
      <c r="AI244" s="119" t="str">
        <f>"26:" &amp; IF(AND(I244="□",P244="□",I245="□"),"tokusin_jyusho_code:0:tokusin_yakuzai_code:0:shuudan_comu_code:0",IF(I244="■","tokusin_jyusho_code:2","tokusin_jyusho_code:1")
&amp;IF(P244="■",":tokusin_yakuzai_code:2",":tokusin_yakuzai_code:1")
&amp;IF(I245="■",":shuudan_comu_code:2",":shuudan_comu_code:1"))</f>
        <v>26:tokusin_jyusho_code:0:tokusin_yakuzai_code:0:shuudan_comu_code:0</v>
      </c>
    </row>
    <row r="245" spans="1:36" ht="18.75" customHeight="1" x14ac:dyDescent="0.15">
      <c r="A245" s="107"/>
      <c r="B245" s="108"/>
      <c r="C245" s="109"/>
      <c r="D245" s="107"/>
      <c r="E245" s="111"/>
      <c r="F245" s="107"/>
      <c r="G245" s="111"/>
      <c r="H245" s="362"/>
      <c r="I245" s="128" t="s">
        <v>348</v>
      </c>
      <c r="J245" s="115" t="s">
        <v>299</v>
      </c>
      <c r="K245" s="145"/>
      <c r="L245" s="145"/>
      <c r="M245" s="145"/>
      <c r="N245" s="145"/>
      <c r="O245" s="145"/>
      <c r="P245" s="145"/>
      <c r="Q245" s="144"/>
      <c r="R245" s="145"/>
      <c r="S245" s="145"/>
      <c r="T245" s="145"/>
      <c r="U245" s="145"/>
      <c r="V245" s="145"/>
      <c r="W245" s="145"/>
      <c r="X245" s="146"/>
      <c r="Y245" s="147"/>
      <c r="Z245" s="105"/>
      <c r="AA245" s="105"/>
      <c r="AB245" s="106"/>
      <c r="AC245" s="406"/>
      <c r="AD245" s="407"/>
      <c r="AE245" s="407"/>
      <c r="AF245" s="408"/>
    </row>
    <row r="246" spans="1:36" ht="18.75" customHeight="1" x14ac:dyDescent="0.15">
      <c r="A246" s="107"/>
      <c r="B246" s="108"/>
      <c r="C246" s="109"/>
      <c r="D246" s="110"/>
      <c r="E246" s="111"/>
      <c r="F246" s="107"/>
      <c r="G246" s="111"/>
      <c r="H246" s="240" t="s">
        <v>385</v>
      </c>
      <c r="I246" s="194" t="s">
        <v>348</v>
      </c>
      <c r="J246" s="149" t="s">
        <v>216</v>
      </c>
      <c r="K246" s="149"/>
      <c r="L246" s="152" t="s">
        <v>348</v>
      </c>
      <c r="M246" s="149" t="s">
        <v>217</v>
      </c>
      <c r="N246" s="149"/>
      <c r="O246" s="152" t="s">
        <v>348</v>
      </c>
      <c r="P246" s="149" t="s">
        <v>218</v>
      </c>
      <c r="Q246" s="154"/>
      <c r="R246" s="154"/>
      <c r="S246" s="154"/>
      <c r="T246" s="154"/>
      <c r="U246" s="241"/>
      <c r="V246" s="241"/>
      <c r="W246" s="241"/>
      <c r="X246" s="242"/>
      <c r="Y246" s="147"/>
      <c r="Z246" s="105"/>
      <c r="AA246" s="105"/>
      <c r="AB246" s="106"/>
      <c r="AC246" s="406"/>
      <c r="AD246" s="407"/>
      <c r="AE246" s="407"/>
      <c r="AF246" s="408"/>
      <c r="AI246" s="119" t="str">
        <f>"26:field225:" &amp; IF(I246="■",1,IF(L246="■",2,IF(O246="■",3,0)))</f>
        <v>26:field225:0</v>
      </c>
    </row>
    <row r="247" spans="1:36" ht="18.75" customHeight="1" x14ac:dyDescent="0.15">
      <c r="A247" s="107"/>
      <c r="B247" s="108"/>
      <c r="C247" s="109"/>
      <c r="D247" s="110"/>
      <c r="E247" s="111"/>
      <c r="F247" s="107"/>
      <c r="G247" s="111"/>
      <c r="H247" s="362" t="s">
        <v>102</v>
      </c>
      <c r="I247" s="194" t="s">
        <v>348</v>
      </c>
      <c r="J247" s="160" t="s">
        <v>300</v>
      </c>
      <c r="K247" s="168"/>
      <c r="L247" s="205"/>
      <c r="M247" s="195" t="s">
        <v>348</v>
      </c>
      <c r="N247" s="160" t="s">
        <v>301</v>
      </c>
      <c r="O247" s="241"/>
      <c r="P247" s="241"/>
      <c r="Q247" s="195" t="s">
        <v>348</v>
      </c>
      <c r="R247" s="160" t="s">
        <v>302</v>
      </c>
      <c r="S247" s="241"/>
      <c r="T247" s="241"/>
      <c r="U247" s="241"/>
      <c r="V247" s="241"/>
      <c r="W247" s="241"/>
      <c r="X247" s="242"/>
      <c r="Y247" s="147"/>
      <c r="Z247" s="105"/>
      <c r="AA247" s="105"/>
      <c r="AB247" s="106"/>
      <c r="AC247" s="406"/>
      <c r="AD247" s="407"/>
      <c r="AE247" s="407"/>
      <c r="AF247" s="408"/>
      <c r="AI247" s="119" t="str">
        <f>"26:"&amp;IF(AND(I247="□",M247="□",Q247="□",I248="□",Q248="□"),"koriha_rryoho1_code:0:koriha_sryoho_code:0:koriha_gengo_code:0:riha_seisin_code:0:koriha_other_code:0",IF(I247="■","koriha_rryoho1_code:2","koriha_rryoho1_code:1")
&amp;IF(M247="■",":koriha_sryoho_code:2",":koriha_sryoho_code:1")
&amp;IF(Q247="■",":koriha_gengo_code:2",":koriha_gengo_code:1")
&amp;IF(I248="■",":riha_seisin_code:2",":riha_seisin_code:1")
&amp;IF(Q248="■",":koriha_other_code:2",":koriha_other_code:1"))</f>
        <v>26:koriha_rryoho1_code:0:koriha_sryoho_code:0:koriha_gengo_code:0:riha_seisin_code:0:koriha_other_code:0</v>
      </c>
    </row>
    <row r="248" spans="1:36" ht="18.75" customHeight="1" x14ac:dyDescent="0.15">
      <c r="A248" s="107"/>
      <c r="B248" s="108"/>
      <c r="C248" s="109"/>
      <c r="D248" s="110"/>
      <c r="E248" s="111"/>
      <c r="F248" s="107"/>
      <c r="G248" s="111"/>
      <c r="H248" s="362"/>
      <c r="I248" s="128" t="s">
        <v>348</v>
      </c>
      <c r="J248" s="115" t="s">
        <v>303</v>
      </c>
      <c r="K248" s="145"/>
      <c r="L248" s="145"/>
      <c r="M248" s="145"/>
      <c r="N248" s="145"/>
      <c r="O248" s="145"/>
      <c r="P248" s="145"/>
      <c r="Q248" s="191" t="s">
        <v>348</v>
      </c>
      <c r="R248" s="115" t="s">
        <v>304</v>
      </c>
      <c r="S248" s="144"/>
      <c r="T248" s="145"/>
      <c r="U248" s="145"/>
      <c r="V248" s="145"/>
      <c r="W248" s="145"/>
      <c r="X248" s="146"/>
      <c r="Y248" s="147"/>
      <c r="Z248" s="105"/>
      <c r="AA248" s="105"/>
      <c r="AB248" s="106"/>
      <c r="AC248" s="406"/>
      <c r="AD248" s="407"/>
      <c r="AE248" s="407"/>
      <c r="AF248" s="408"/>
      <c r="AI248" s="119"/>
    </row>
    <row r="249" spans="1:36" ht="18.75" customHeight="1" x14ac:dyDescent="0.15">
      <c r="A249" s="107"/>
      <c r="B249" s="108"/>
      <c r="C249" s="109"/>
      <c r="D249" s="110"/>
      <c r="E249" s="111"/>
      <c r="F249" s="112"/>
      <c r="G249" s="111"/>
      <c r="H249" s="230" t="s">
        <v>111</v>
      </c>
      <c r="I249" s="194" t="s">
        <v>348</v>
      </c>
      <c r="J249" s="149" t="s">
        <v>216</v>
      </c>
      <c r="K249" s="149"/>
      <c r="L249" s="152" t="s">
        <v>348</v>
      </c>
      <c r="M249" s="149" t="s">
        <v>224</v>
      </c>
      <c r="N249" s="149"/>
      <c r="O249" s="152" t="s">
        <v>348</v>
      </c>
      <c r="P249" s="149" t="s">
        <v>225</v>
      </c>
      <c r="Q249" s="196"/>
      <c r="R249" s="152" t="s">
        <v>348</v>
      </c>
      <c r="S249" s="149" t="s">
        <v>248</v>
      </c>
      <c r="T249" s="196"/>
      <c r="U249" s="196"/>
      <c r="V249" s="196"/>
      <c r="W249" s="196"/>
      <c r="X249" s="197"/>
      <c r="Y249" s="147"/>
      <c r="Z249" s="105"/>
      <c r="AA249" s="105"/>
      <c r="AB249" s="106"/>
      <c r="AC249" s="406"/>
      <c r="AD249" s="407"/>
      <c r="AE249" s="407"/>
      <c r="AF249" s="408"/>
      <c r="AI249" s="119" t="str">
        <f>"26:serteikyo_kyoka_code:" &amp; IF(I249="■",1,IF(L249="■",6,IF(O249="■",5,IF(R249="■",7,0))))</f>
        <v>26:serteikyo_kyoka_code:0</v>
      </c>
    </row>
    <row r="250" spans="1:36" ht="18.75" customHeight="1" x14ac:dyDescent="0.15">
      <c r="A250" s="107"/>
      <c r="B250" s="108"/>
      <c r="C250" s="109"/>
      <c r="D250" s="110"/>
      <c r="E250" s="111"/>
      <c r="F250" s="112"/>
      <c r="G250" s="111"/>
      <c r="H250" s="329" t="s">
        <v>409</v>
      </c>
      <c r="I250" s="360" t="s">
        <v>348</v>
      </c>
      <c r="J250" s="359" t="s">
        <v>216</v>
      </c>
      <c r="K250" s="359"/>
      <c r="L250" s="360" t="s">
        <v>348</v>
      </c>
      <c r="M250" s="359" t="s">
        <v>232</v>
      </c>
      <c r="N250" s="359"/>
      <c r="O250" s="198"/>
      <c r="P250" s="198"/>
      <c r="Q250" s="198"/>
      <c r="R250" s="198"/>
      <c r="S250" s="198"/>
      <c r="T250" s="198"/>
      <c r="U250" s="198"/>
      <c r="V250" s="198"/>
      <c r="W250" s="198"/>
      <c r="X250" s="199"/>
      <c r="Y250" s="147"/>
      <c r="Z250" s="105"/>
      <c r="AA250" s="105"/>
      <c r="AB250" s="106"/>
      <c r="AC250" s="406"/>
      <c r="AD250" s="407"/>
      <c r="AE250" s="407"/>
      <c r="AF250" s="408"/>
      <c r="AI250" s="119" t="str">
        <f>"26:field221:" &amp; IF(I250="■",1,IF(L250="■",2,0))</f>
        <v>26:field221:0</v>
      </c>
    </row>
    <row r="251" spans="1:36" ht="18.75" customHeight="1" x14ac:dyDescent="0.15">
      <c r="A251" s="107"/>
      <c r="B251" s="108"/>
      <c r="C251" s="109"/>
      <c r="D251" s="110"/>
      <c r="E251" s="111"/>
      <c r="F251" s="112"/>
      <c r="G251" s="111"/>
      <c r="H251" s="328"/>
      <c r="I251" s="360"/>
      <c r="J251" s="359"/>
      <c r="K251" s="359"/>
      <c r="L251" s="360"/>
      <c r="M251" s="359"/>
      <c r="N251" s="359"/>
      <c r="O251" s="144"/>
      <c r="P251" s="144"/>
      <c r="Q251" s="144"/>
      <c r="R251" s="144"/>
      <c r="S251" s="144"/>
      <c r="T251" s="144"/>
      <c r="U251" s="144"/>
      <c r="V251" s="144"/>
      <c r="W251" s="144"/>
      <c r="X251" s="226"/>
      <c r="Y251" s="147"/>
      <c r="Z251" s="105"/>
      <c r="AA251" s="105"/>
      <c r="AB251" s="106"/>
      <c r="AC251" s="406"/>
      <c r="AD251" s="407"/>
      <c r="AE251" s="407"/>
      <c r="AF251" s="408"/>
    </row>
    <row r="252" spans="1:36" ht="18.75" customHeight="1" x14ac:dyDescent="0.15">
      <c r="A252" s="170"/>
      <c r="B252" s="171"/>
      <c r="C252" s="172"/>
      <c r="D252" s="173"/>
      <c r="E252" s="174"/>
      <c r="F252" s="175"/>
      <c r="G252" s="176"/>
      <c r="H252" s="95" t="s">
        <v>405</v>
      </c>
      <c r="I252" s="177" t="s">
        <v>348</v>
      </c>
      <c r="J252" s="96" t="s">
        <v>216</v>
      </c>
      <c r="K252" s="96"/>
      <c r="L252" s="178" t="s">
        <v>348</v>
      </c>
      <c r="M252" s="96" t="s">
        <v>373</v>
      </c>
      <c r="N252" s="97"/>
      <c r="O252" s="178" t="s">
        <v>348</v>
      </c>
      <c r="P252" s="99" t="s">
        <v>374</v>
      </c>
      <c r="Q252" s="98"/>
      <c r="R252" s="178" t="s">
        <v>348</v>
      </c>
      <c r="S252" s="96" t="s">
        <v>375</v>
      </c>
      <c r="T252" s="98"/>
      <c r="U252" s="178" t="s">
        <v>348</v>
      </c>
      <c r="V252" s="96" t="s">
        <v>376</v>
      </c>
      <c r="W252" s="100"/>
      <c r="X252" s="101"/>
      <c r="Y252" s="179"/>
      <c r="Z252" s="179"/>
      <c r="AA252" s="179"/>
      <c r="AB252" s="180"/>
      <c r="AC252" s="409"/>
      <c r="AD252" s="410"/>
      <c r="AE252" s="410"/>
      <c r="AF252" s="411"/>
      <c r="AG252" s="119"/>
      <c r="AH252" s="119"/>
      <c r="AI252" s="119" t="str">
        <f>"26:shoguukaizen_code:"&amp;IF(I252="■",1,IF(L252="■",7,IF(O252="■",8,IF(R252="■",9,IF(U252="■","A",0)))))</f>
        <v>26:shoguukaizen_code:0</v>
      </c>
    </row>
    <row r="253" spans="1:36" ht="18.75" customHeight="1" x14ac:dyDescent="0.15">
      <c r="A253" s="130"/>
      <c r="B253" s="131"/>
      <c r="C253" s="132"/>
      <c r="D253" s="133"/>
      <c r="E253" s="126"/>
      <c r="F253" s="134"/>
      <c r="G253" s="126"/>
      <c r="H253" s="340" t="s">
        <v>96</v>
      </c>
      <c r="I253" s="140" t="s">
        <v>348</v>
      </c>
      <c r="J253" s="124" t="s">
        <v>265</v>
      </c>
      <c r="K253" s="137"/>
      <c r="L253" s="231"/>
      <c r="M253" s="136" t="s">
        <v>348</v>
      </c>
      <c r="N253" s="124" t="s">
        <v>293</v>
      </c>
      <c r="O253" s="232"/>
      <c r="P253" s="232"/>
      <c r="Q253" s="136" t="s">
        <v>348</v>
      </c>
      <c r="R253" s="124" t="s">
        <v>294</v>
      </c>
      <c r="S253" s="232"/>
      <c r="T253" s="232"/>
      <c r="U253" s="136" t="s">
        <v>348</v>
      </c>
      <c r="V253" s="124" t="s">
        <v>295</v>
      </c>
      <c r="W253" s="232"/>
      <c r="X253" s="213"/>
      <c r="Y253" s="136" t="s">
        <v>348</v>
      </c>
      <c r="Z253" s="124" t="s">
        <v>215</v>
      </c>
      <c r="AA253" s="124"/>
      <c r="AB253" s="139"/>
      <c r="AC253" s="403"/>
      <c r="AD253" s="404"/>
      <c r="AE253" s="404"/>
      <c r="AF253" s="405"/>
      <c r="AG253" s="119" t="str">
        <f>"ser_code = '" &amp; IF(A263="■",26,"") &amp; "'"</f>
        <v>ser_code = ''</v>
      </c>
      <c r="AH253" s="119" t="str">
        <f>"26:jininkbn_code:" &amp; IF(F263="■",2,IF(F264="■",3,0))</f>
        <v>26:jininkbn_code:0</v>
      </c>
      <c r="AI253" s="119" t="str">
        <f>"26:yakan_kinmu_code:" &amp; IF(I253="■",1,IF(M253="■",2,IF(Q253="■",3,IF(U253="■",7,IF(I254="■",5,IF(M254="■",6,0))))))</f>
        <v>26:yakan_kinmu_code:0</v>
      </c>
      <c r="AJ253" s="119" t="str">
        <f>"26:field203:" &amp; IF(Y253="■",1,IF(Y254="■",2,0))</f>
        <v>26:field203:0</v>
      </c>
    </row>
    <row r="254" spans="1:36" ht="18.75" customHeight="1" x14ac:dyDescent="0.15">
      <c r="A254" s="107"/>
      <c r="B254" s="108"/>
      <c r="C254" s="109"/>
      <c r="D254" s="110"/>
      <c r="E254" s="111"/>
      <c r="F254" s="112"/>
      <c r="G254" s="111"/>
      <c r="H254" s="371"/>
      <c r="I254" s="128" t="s">
        <v>348</v>
      </c>
      <c r="J254" s="115" t="s">
        <v>296</v>
      </c>
      <c r="K254" s="166"/>
      <c r="L254" s="116"/>
      <c r="M254" s="191" t="s">
        <v>348</v>
      </c>
      <c r="N254" s="115" t="s">
        <v>266</v>
      </c>
      <c r="O254" s="144"/>
      <c r="P254" s="144"/>
      <c r="Q254" s="144"/>
      <c r="R254" s="144"/>
      <c r="S254" s="144"/>
      <c r="T254" s="144"/>
      <c r="U254" s="144"/>
      <c r="V254" s="144"/>
      <c r="W254" s="144"/>
      <c r="X254" s="226"/>
      <c r="Y254" s="123" t="s">
        <v>348</v>
      </c>
      <c r="Z254" s="104" t="s">
        <v>221</v>
      </c>
      <c r="AA254" s="105"/>
      <c r="AB254" s="106"/>
      <c r="AC254" s="406"/>
      <c r="AD254" s="407"/>
      <c r="AE254" s="407"/>
      <c r="AF254" s="408"/>
      <c r="AG254" s="119" t="str">
        <f>"26:sisetukbn_code:"&amp;IF(D263="■","A",IF(D264="■","C",0))</f>
        <v>26:sisetukbn_code:0</v>
      </c>
      <c r="AH254" s="119"/>
      <c r="AI254" s="119"/>
      <c r="AJ254" s="119"/>
    </row>
    <row r="255" spans="1:36" ht="18.75" customHeight="1" x14ac:dyDescent="0.15">
      <c r="A255" s="107"/>
      <c r="B255" s="108"/>
      <c r="C255" s="109"/>
      <c r="D255" s="110"/>
      <c r="E255" s="111"/>
      <c r="F255" s="112"/>
      <c r="G255" s="111"/>
      <c r="H255" s="230" t="s">
        <v>92</v>
      </c>
      <c r="I255" s="194" t="s">
        <v>348</v>
      </c>
      <c r="J255" s="149" t="s">
        <v>216</v>
      </c>
      <c r="K255" s="149"/>
      <c r="L255" s="151"/>
      <c r="M255" s="152" t="s">
        <v>348</v>
      </c>
      <c r="N255" s="149" t="s">
        <v>254</v>
      </c>
      <c r="O255" s="149"/>
      <c r="P255" s="151"/>
      <c r="Q255" s="152" t="s">
        <v>348</v>
      </c>
      <c r="R255" s="196" t="s">
        <v>255</v>
      </c>
      <c r="S255" s="196"/>
      <c r="T255" s="196"/>
      <c r="U255" s="152" t="s">
        <v>348</v>
      </c>
      <c r="V255" s="196" t="s">
        <v>256</v>
      </c>
      <c r="W255" s="154"/>
      <c r="X255" s="155"/>
      <c r="Y255" s="147"/>
      <c r="Z255" s="105"/>
      <c r="AA255" s="105"/>
      <c r="AB255" s="106"/>
      <c r="AC255" s="406"/>
      <c r="AD255" s="407"/>
      <c r="AE255" s="407"/>
      <c r="AF255" s="408"/>
      <c r="AI255" s="119" t="str">
        <f>"26:"&amp;IF(AND(I255="□",M255="□",Q255="□",U255="□"),"ketu_doctor_code:0",IF(I255="■","ketu_doctor_code:1:ketu_kangos_code:1:ketu_kshoku_code:1",
IF(M255="■","ketu_doctor_code:2","ketu_doctor_code:1")
&amp;IF(Q255="■",":ketu_kangos_code:2",":ketu_kangos_code:1")
&amp;IF(U255="■",":ketu_kshoku_code:2",":ketu_kshoku_code:1")))</f>
        <v>26:ketu_doctor_code:0</v>
      </c>
    </row>
    <row r="256" spans="1:36" ht="18.75" customHeight="1" x14ac:dyDescent="0.15">
      <c r="A256" s="107"/>
      <c r="B256" s="108"/>
      <c r="C256" s="109"/>
      <c r="D256" s="110"/>
      <c r="E256" s="111"/>
      <c r="F256" s="112"/>
      <c r="G256" s="111"/>
      <c r="H256" s="230" t="s">
        <v>97</v>
      </c>
      <c r="I256" s="194" t="s">
        <v>348</v>
      </c>
      <c r="J256" s="149" t="s">
        <v>230</v>
      </c>
      <c r="K256" s="150"/>
      <c r="L256" s="151"/>
      <c r="M256" s="152" t="s">
        <v>348</v>
      </c>
      <c r="N256" s="149" t="s">
        <v>231</v>
      </c>
      <c r="O256" s="154"/>
      <c r="P256" s="154"/>
      <c r="Q256" s="154"/>
      <c r="R256" s="154"/>
      <c r="S256" s="154"/>
      <c r="T256" s="154"/>
      <c r="U256" s="154"/>
      <c r="V256" s="154"/>
      <c r="W256" s="154"/>
      <c r="X256" s="155"/>
      <c r="Y256" s="147"/>
      <c r="Z256" s="105"/>
      <c r="AA256" s="105"/>
      <c r="AB256" s="106"/>
      <c r="AC256" s="406"/>
      <c r="AD256" s="407"/>
      <c r="AE256" s="407"/>
      <c r="AF256" s="408"/>
      <c r="AI256" s="119" t="str">
        <f>"26:unitcare_code:" &amp; IF(I256="■",1,IF(M256="■",2,0))</f>
        <v>26:unitcare_code:0</v>
      </c>
    </row>
    <row r="257" spans="1:35" s="119" customFormat="1" ht="18.75" customHeight="1" x14ac:dyDescent="0.15">
      <c r="A257" s="107"/>
      <c r="B257" s="108"/>
      <c r="C257" s="238"/>
      <c r="D257" s="239"/>
      <c r="E257" s="111"/>
      <c r="F257" s="112"/>
      <c r="G257" s="113"/>
      <c r="H257" s="230" t="s">
        <v>103</v>
      </c>
      <c r="I257" s="148" t="s">
        <v>348</v>
      </c>
      <c r="J257" s="149" t="s">
        <v>360</v>
      </c>
      <c r="K257" s="150"/>
      <c r="L257" s="151"/>
      <c r="M257" s="152" t="s">
        <v>348</v>
      </c>
      <c r="N257" s="149" t="s">
        <v>361</v>
      </c>
      <c r="O257" s="150"/>
      <c r="P257" s="150"/>
      <c r="Q257" s="150"/>
      <c r="R257" s="150"/>
      <c r="S257" s="150"/>
      <c r="T257" s="150"/>
      <c r="U257" s="150"/>
      <c r="V257" s="150"/>
      <c r="W257" s="150"/>
      <c r="X257" s="159"/>
      <c r="Y257" s="147"/>
      <c r="Z257" s="105"/>
      <c r="AA257" s="105"/>
      <c r="AB257" s="106"/>
      <c r="AC257" s="406"/>
      <c r="AD257" s="407"/>
      <c r="AE257" s="407"/>
      <c r="AF257" s="408"/>
      <c r="AI257" s="119" t="str">
        <f>"26:sintaikousoku_code:" &amp; IF(I257="■",1,IF(M257="■",2,0))</f>
        <v>26:sintaikousoku_code:0</v>
      </c>
    </row>
    <row r="258" spans="1:35" ht="19.5" customHeight="1" x14ac:dyDescent="0.15">
      <c r="A258" s="107"/>
      <c r="B258" s="108"/>
      <c r="C258" s="109"/>
      <c r="D258" s="110"/>
      <c r="E258" s="111"/>
      <c r="F258" s="112"/>
      <c r="G258" s="113"/>
      <c r="H258" s="114" t="s">
        <v>369</v>
      </c>
      <c r="I258" s="194" t="s">
        <v>348</v>
      </c>
      <c r="J258" s="149" t="s">
        <v>360</v>
      </c>
      <c r="K258" s="150"/>
      <c r="L258" s="151"/>
      <c r="M258" s="152" t="s">
        <v>348</v>
      </c>
      <c r="N258" s="149" t="s">
        <v>370</v>
      </c>
      <c r="O258" s="149"/>
      <c r="P258" s="149"/>
      <c r="Q258" s="154"/>
      <c r="R258" s="154"/>
      <c r="S258" s="154"/>
      <c r="T258" s="154"/>
      <c r="U258" s="154"/>
      <c r="V258" s="154"/>
      <c r="W258" s="154"/>
      <c r="X258" s="155"/>
      <c r="Y258" s="105"/>
      <c r="Z258" s="105"/>
      <c r="AA258" s="105"/>
      <c r="AB258" s="106"/>
      <c r="AC258" s="406"/>
      <c r="AD258" s="407"/>
      <c r="AE258" s="407"/>
      <c r="AF258" s="408"/>
      <c r="AI258" s="119" t="str">
        <f>"26:field223:" &amp; IF(I258="■",1,IF(M258="■",2,0))</f>
        <v>26:field223:0</v>
      </c>
    </row>
    <row r="259" spans="1:35" ht="19.5" customHeight="1" x14ac:dyDescent="0.15">
      <c r="A259" s="107"/>
      <c r="B259" s="108"/>
      <c r="C259" s="109"/>
      <c r="D259" s="110"/>
      <c r="E259" s="111"/>
      <c r="F259" s="112"/>
      <c r="G259" s="113"/>
      <c r="H259" s="114" t="s">
        <v>390</v>
      </c>
      <c r="I259" s="194" t="s">
        <v>348</v>
      </c>
      <c r="J259" s="115" t="s">
        <v>360</v>
      </c>
      <c r="K259" s="166"/>
      <c r="L259" s="116"/>
      <c r="M259" s="191" t="s">
        <v>348</v>
      </c>
      <c r="N259" s="115" t="s">
        <v>370</v>
      </c>
      <c r="O259" s="115"/>
      <c r="P259" s="115"/>
      <c r="Q259" s="145"/>
      <c r="R259" s="145"/>
      <c r="S259" s="145"/>
      <c r="T259" s="145"/>
      <c r="U259" s="145"/>
      <c r="V259" s="145"/>
      <c r="W259" s="145"/>
      <c r="X259" s="146"/>
      <c r="Y259" s="105"/>
      <c r="Z259" s="104"/>
      <c r="AA259" s="105"/>
      <c r="AB259" s="106"/>
      <c r="AC259" s="406"/>
      <c r="AD259" s="407"/>
      <c r="AE259" s="407"/>
      <c r="AF259" s="408"/>
      <c r="AI259" s="119" t="str">
        <f>"26:field232:" &amp; IF(I259="■",1,IF(M259="■",2,0))</f>
        <v>26:field232:0</v>
      </c>
    </row>
    <row r="260" spans="1:35" ht="18.75" customHeight="1" x14ac:dyDescent="0.15">
      <c r="A260" s="107"/>
      <c r="B260" s="108"/>
      <c r="C260" s="109"/>
      <c r="D260" s="110"/>
      <c r="E260" s="111"/>
      <c r="F260" s="112"/>
      <c r="G260" s="111"/>
      <c r="H260" s="230" t="s">
        <v>430</v>
      </c>
      <c r="I260" s="194" t="s">
        <v>348</v>
      </c>
      <c r="J260" s="149" t="s">
        <v>265</v>
      </c>
      <c r="K260" s="150"/>
      <c r="L260" s="151"/>
      <c r="M260" s="152" t="s">
        <v>348</v>
      </c>
      <c r="N260" s="149" t="s">
        <v>297</v>
      </c>
      <c r="O260" s="196"/>
      <c r="P260" s="196"/>
      <c r="Q260" s="196"/>
      <c r="R260" s="196"/>
      <c r="S260" s="196"/>
      <c r="T260" s="196"/>
      <c r="U260" s="196"/>
      <c r="V260" s="196"/>
      <c r="W260" s="196"/>
      <c r="X260" s="197"/>
      <c r="Y260" s="147"/>
      <c r="Z260" s="105"/>
      <c r="AA260" s="105"/>
      <c r="AB260" s="106"/>
      <c r="AC260" s="406"/>
      <c r="AD260" s="407"/>
      <c r="AE260" s="407"/>
      <c r="AF260" s="408"/>
      <c r="AI260" s="119" t="str">
        <f>"26:ryokan_code:" &amp; IF(I260="■",1,IF(M260="■",2,0))</f>
        <v>26:ryokan_code:0</v>
      </c>
    </row>
    <row r="261" spans="1:35" ht="18.75" customHeight="1" x14ac:dyDescent="0.15">
      <c r="A261" s="107"/>
      <c r="B261" s="108"/>
      <c r="C261" s="109"/>
      <c r="D261" s="110"/>
      <c r="E261" s="111"/>
      <c r="F261" s="112"/>
      <c r="G261" s="111"/>
      <c r="H261" s="230" t="s">
        <v>100</v>
      </c>
      <c r="I261" s="194" t="s">
        <v>348</v>
      </c>
      <c r="J261" s="149" t="s">
        <v>367</v>
      </c>
      <c r="K261" s="150"/>
      <c r="L261" s="151"/>
      <c r="M261" s="152" t="s">
        <v>348</v>
      </c>
      <c r="N261" s="149" t="s">
        <v>298</v>
      </c>
      <c r="O261" s="154"/>
      <c r="P261" s="154"/>
      <c r="Q261" s="154"/>
      <c r="R261" s="196"/>
      <c r="S261" s="154"/>
      <c r="T261" s="154"/>
      <c r="U261" s="154"/>
      <c r="V261" s="154"/>
      <c r="W261" s="154"/>
      <c r="X261" s="155"/>
      <c r="Y261" s="147"/>
      <c r="Z261" s="105"/>
      <c r="AA261" s="105"/>
      <c r="AB261" s="106"/>
      <c r="AC261" s="406"/>
      <c r="AD261" s="407"/>
      <c r="AE261" s="407"/>
      <c r="AF261" s="408"/>
      <c r="AI261" s="119" t="str">
        <f>"26:doctor_haiti_code:" &amp; IF(I261="■",1,IF(M261="■",2,0))</f>
        <v>26:doctor_haiti_code:0</v>
      </c>
    </row>
    <row r="262" spans="1:35" ht="18.75" customHeight="1" x14ac:dyDescent="0.15">
      <c r="A262" s="107"/>
      <c r="B262" s="108"/>
      <c r="C262" s="109"/>
      <c r="D262" s="110"/>
      <c r="E262" s="111"/>
      <c r="F262" s="112"/>
      <c r="G262" s="111"/>
      <c r="H262" s="230" t="s">
        <v>424</v>
      </c>
      <c r="I262" s="194" t="s">
        <v>348</v>
      </c>
      <c r="J262" s="149" t="s">
        <v>216</v>
      </c>
      <c r="K262" s="150"/>
      <c r="L262" s="152" t="s">
        <v>348</v>
      </c>
      <c r="M262" s="149" t="s">
        <v>232</v>
      </c>
      <c r="N262" s="154"/>
      <c r="O262" s="154"/>
      <c r="P262" s="154"/>
      <c r="Q262" s="154"/>
      <c r="R262" s="154"/>
      <c r="S262" s="154"/>
      <c r="T262" s="154"/>
      <c r="U262" s="154"/>
      <c r="V262" s="154"/>
      <c r="W262" s="154"/>
      <c r="X262" s="155"/>
      <c r="Y262" s="147"/>
      <c r="Z262" s="105"/>
      <c r="AA262" s="105"/>
      <c r="AB262" s="106"/>
      <c r="AC262" s="406"/>
      <c r="AD262" s="407"/>
      <c r="AE262" s="407"/>
      <c r="AF262" s="408"/>
      <c r="AI262" s="119" t="str">
        <f>"26:jyakuninti_uke_code:" &amp; IF(I262="■",1,IF(L262="■",2,0))</f>
        <v>26:jyakuninti_uke_code:0</v>
      </c>
    </row>
    <row r="263" spans="1:35" ht="18.75" customHeight="1" x14ac:dyDescent="0.15">
      <c r="A263" s="128" t="s">
        <v>348</v>
      </c>
      <c r="B263" s="108">
        <v>26</v>
      </c>
      <c r="C263" s="109" t="s">
        <v>433</v>
      </c>
      <c r="D263" s="128" t="s">
        <v>348</v>
      </c>
      <c r="E263" s="111" t="s">
        <v>325</v>
      </c>
      <c r="F263" s="128" t="s">
        <v>348</v>
      </c>
      <c r="G263" s="111" t="s">
        <v>323</v>
      </c>
      <c r="H263" s="230" t="s">
        <v>94</v>
      </c>
      <c r="I263" s="194" t="s">
        <v>348</v>
      </c>
      <c r="J263" s="149" t="s">
        <v>230</v>
      </c>
      <c r="K263" s="150"/>
      <c r="L263" s="151"/>
      <c r="M263" s="152" t="s">
        <v>348</v>
      </c>
      <c r="N263" s="149" t="s">
        <v>231</v>
      </c>
      <c r="O263" s="154"/>
      <c r="P263" s="154"/>
      <c r="Q263" s="154"/>
      <c r="R263" s="154"/>
      <c r="S263" s="154"/>
      <c r="T263" s="154"/>
      <c r="U263" s="154"/>
      <c r="V263" s="154"/>
      <c r="W263" s="154"/>
      <c r="X263" s="155"/>
      <c r="Y263" s="147"/>
      <c r="Z263" s="105"/>
      <c r="AA263" s="105"/>
      <c r="AB263" s="106"/>
      <c r="AC263" s="406"/>
      <c r="AD263" s="407"/>
      <c r="AE263" s="407"/>
      <c r="AF263" s="408"/>
      <c r="AI263" s="119" t="str">
        <f>"26:sougei_code:" &amp; IF(I263="■",1,IF(M263="■",2,0))</f>
        <v>26:sougei_code:0</v>
      </c>
    </row>
    <row r="264" spans="1:35" ht="19.5" customHeight="1" x14ac:dyDescent="0.15">
      <c r="A264" s="107"/>
      <c r="B264" s="108"/>
      <c r="C264" s="109"/>
      <c r="D264" s="128" t="s">
        <v>348</v>
      </c>
      <c r="E264" s="111" t="s">
        <v>326</v>
      </c>
      <c r="F264" s="128" t="s">
        <v>348</v>
      </c>
      <c r="G264" s="111" t="s">
        <v>324</v>
      </c>
      <c r="H264" s="114" t="s">
        <v>372</v>
      </c>
      <c r="I264" s="194" t="s">
        <v>348</v>
      </c>
      <c r="J264" s="149" t="s">
        <v>216</v>
      </c>
      <c r="K264" s="149"/>
      <c r="L264" s="152" t="s">
        <v>348</v>
      </c>
      <c r="M264" s="149" t="s">
        <v>232</v>
      </c>
      <c r="N264" s="149"/>
      <c r="O264" s="154"/>
      <c r="P264" s="149"/>
      <c r="Q264" s="154"/>
      <c r="R264" s="154"/>
      <c r="S264" s="154"/>
      <c r="T264" s="154"/>
      <c r="U264" s="154"/>
      <c r="V264" s="154"/>
      <c r="W264" s="154"/>
      <c r="X264" s="155"/>
      <c r="Y264" s="105"/>
      <c r="Z264" s="105"/>
      <c r="AA264" s="105"/>
      <c r="AB264" s="106"/>
      <c r="AC264" s="406"/>
      <c r="AD264" s="407"/>
      <c r="AE264" s="407"/>
      <c r="AF264" s="408"/>
      <c r="AI264" s="119" t="str">
        <f>"26:field224:" &amp; IF(I264="■",1,IF(L264="■",2,0))</f>
        <v>26:field224:0</v>
      </c>
    </row>
    <row r="265" spans="1:35" ht="18.75" customHeight="1" x14ac:dyDescent="0.15">
      <c r="A265" s="107"/>
      <c r="B265" s="108"/>
      <c r="C265" s="109"/>
      <c r="D265" s="110"/>
      <c r="E265" s="111"/>
      <c r="F265" s="112"/>
      <c r="G265" s="111"/>
      <c r="H265" s="230" t="s">
        <v>106</v>
      </c>
      <c r="I265" s="194" t="s">
        <v>348</v>
      </c>
      <c r="J265" s="149" t="s">
        <v>216</v>
      </c>
      <c r="K265" s="150"/>
      <c r="L265" s="152" t="s">
        <v>348</v>
      </c>
      <c r="M265" s="149" t="s">
        <v>232</v>
      </c>
      <c r="N265" s="154"/>
      <c r="O265" s="154"/>
      <c r="P265" s="154"/>
      <c r="Q265" s="154"/>
      <c r="R265" s="154"/>
      <c r="S265" s="154"/>
      <c r="T265" s="154"/>
      <c r="U265" s="154"/>
      <c r="V265" s="154"/>
      <c r="W265" s="154"/>
      <c r="X265" s="155"/>
      <c r="Y265" s="147"/>
      <c r="Z265" s="105"/>
      <c r="AA265" s="105"/>
      <c r="AB265" s="106"/>
      <c r="AC265" s="406"/>
      <c r="AD265" s="407"/>
      <c r="AE265" s="407"/>
      <c r="AF265" s="408"/>
      <c r="AI265" s="119" t="str">
        <f>"26:ryouyoushoku_code:" &amp; IF(I265="■",1,IF(L265="■",2,0))</f>
        <v>26:ryouyoushoku_code:0</v>
      </c>
    </row>
    <row r="266" spans="1:35" ht="18.75" customHeight="1" x14ac:dyDescent="0.15">
      <c r="A266" s="107"/>
      <c r="B266" s="108"/>
      <c r="C266" s="109"/>
      <c r="D266" s="110"/>
      <c r="E266" s="111"/>
      <c r="F266" s="112"/>
      <c r="G266" s="111"/>
      <c r="H266" s="230" t="s">
        <v>165</v>
      </c>
      <c r="I266" s="194" t="s">
        <v>348</v>
      </c>
      <c r="J266" s="149" t="s">
        <v>216</v>
      </c>
      <c r="K266" s="149"/>
      <c r="L266" s="152" t="s">
        <v>348</v>
      </c>
      <c r="M266" s="149" t="s">
        <v>217</v>
      </c>
      <c r="N266" s="149"/>
      <c r="O266" s="152" t="s">
        <v>348</v>
      </c>
      <c r="P266" s="149" t="s">
        <v>218</v>
      </c>
      <c r="Q266" s="154"/>
      <c r="R266" s="154"/>
      <c r="S266" s="154"/>
      <c r="T266" s="154"/>
      <c r="U266" s="154"/>
      <c r="V266" s="154"/>
      <c r="W266" s="154"/>
      <c r="X266" s="155"/>
      <c r="Y266" s="147"/>
      <c r="Z266" s="105"/>
      <c r="AA266" s="105"/>
      <c r="AB266" s="106"/>
      <c r="AC266" s="406"/>
      <c r="AD266" s="407"/>
      <c r="AE266" s="407"/>
      <c r="AF266" s="408"/>
      <c r="AI266" s="119" t="str">
        <f>"26:ninti_senmoncare_code:" &amp; IF(I266="■",1,IF(O266="■",3,IF(L266="■",2,0)))</f>
        <v>26:ninti_senmoncare_code:0</v>
      </c>
    </row>
    <row r="267" spans="1:35" ht="18.75" customHeight="1" x14ac:dyDescent="0.15">
      <c r="A267" s="107"/>
      <c r="B267" s="108"/>
      <c r="C267" s="109"/>
      <c r="D267" s="110"/>
      <c r="E267" s="111"/>
      <c r="F267" s="112"/>
      <c r="G267" s="111"/>
      <c r="H267" s="370" t="s">
        <v>101</v>
      </c>
      <c r="I267" s="194" t="s">
        <v>348</v>
      </c>
      <c r="J267" s="160" t="s">
        <v>285</v>
      </c>
      <c r="K267" s="160"/>
      <c r="L267" s="241"/>
      <c r="M267" s="241"/>
      <c r="N267" s="241"/>
      <c r="O267" s="241"/>
      <c r="P267" s="195" t="s">
        <v>348</v>
      </c>
      <c r="Q267" s="160" t="s">
        <v>286</v>
      </c>
      <c r="R267" s="241"/>
      <c r="S267" s="241"/>
      <c r="T267" s="241"/>
      <c r="U267" s="241"/>
      <c r="V267" s="241"/>
      <c r="W267" s="241"/>
      <c r="X267" s="242"/>
      <c r="Y267" s="147"/>
      <c r="Z267" s="105"/>
      <c r="AA267" s="105"/>
      <c r="AB267" s="106"/>
      <c r="AC267" s="406"/>
      <c r="AD267" s="407"/>
      <c r="AE267" s="407"/>
      <c r="AF267" s="408"/>
      <c r="AI267" s="119" t="str">
        <f>"26:" &amp; IF(AND(I267="□",P267="□",I268="□"),"tokusin_jyusho_code:0:tokusin_yakuzai_code:0:shuudan_comu_code:0",IF(I267="■","tokusin_jyusho_code:2","tokusin_jyusho_code:1")
&amp;IF(P267="■",":tokusin_yakuzai_code:2",":tokusin_yakuzai_code:1")
&amp;IF(I268="■",":shuudan_comu_code:2",":shuudan_comu_code:1"))</f>
        <v>26:tokusin_jyusho_code:0:tokusin_yakuzai_code:0:shuudan_comu_code:0</v>
      </c>
    </row>
    <row r="268" spans="1:35" ht="18.75" customHeight="1" x14ac:dyDescent="0.15">
      <c r="A268" s="107"/>
      <c r="B268" s="108"/>
      <c r="C268" s="109"/>
      <c r="D268" s="110"/>
      <c r="E268" s="111"/>
      <c r="F268" s="112"/>
      <c r="G268" s="111"/>
      <c r="H268" s="371"/>
      <c r="I268" s="128" t="s">
        <v>348</v>
      </c>
      <c r="J268" s="115" t="s">
        <v>299</v>
      </c>
      <c r="K268" s="145"/>
      <c r="L268" s="145"/>
      <c r="M268" s="145"/>
      <c r="N268" s="145"/>
      <c r="O268" s="145"/>
      <c r="P268" s="145"/>
      <c r="Q268" s="144"/>
      <c r="R268" s="145"/>
      <c r="S268" s="145"/>
      <c r="T268" s="145"/>
      <c r="U268" s="145"/>
      <c r="V268" s="145"/>
      <c r="W268" s="145"/>
      <c r="X268" s="146"/>
      <c r="Y268" s="147"/>
      <c r="Z268" s="105"/>
      <c r="AA268" s="105"/>
      <c r="AB268" s="106"/>
      <c r="AC268" s="406"/>
      <c r="AD268" s="407"/>
      <c r="AE268" s="407"/>
      <c r="AF268" s="408"/>
    </row>
    <row r="269" spans="1:35" ht="18.75" customHeight="1" x14ac:dyDescent="0.15">
      <c r="A269" s="107"/>
      <c r="B269" s="108"/>
      <c r="C269" s="109"/>
      <c r="D269" s="110"/>
      <c r="E269" s="111"/>
      <c r="F269" s="112"/>
      <c r="G269" s="111"/>
      <c r="H269" s="240" t="s">
        <v>385</v>
      </c>
      <c r="I269" s="194" t="s">
        <v>348</v>
      </c>
      <c r="J269" s="149" t="s">
        <v>216</v>
      </c>
      <c r="K269" s="149"/>
      <c r="L269" s="152" t="s">
        <v>348</v>
      </c>
      <c r="M269" s="149" t="s">
        <v>217</v>
      </c>
      <c r="N269" s="149"/>
      <c r="O269" s="152" t="s">
        <v>348</v>
      </c>
      <c r="P269" s="149" t="s">
        <v>218</v>
      </c>
      <c r="Q269" s="154"/>
      <c r="R269" s="154"/>
      <c r="S269" s="154"/>
      <c r="T269" s="154"/>
      <c r="U269" s="241"/>
      <c r="V269" s="241"/>
      <c r="W269" s="241"/>
      <c r="X269" s="242"/>
      <c r="Y269" s="147"/>
      <c r="Z269" s="105"/>
      <c r="AA269" s="105"/>
      <c r="AB269" s="106"/>
      <c r="AC269" s="406"/>
      <c r="AD269" s="407"/>
      <c r="AE269" s="407"/>
      <c r="AF269" s="408"/>
      <c r="AI269" s="119" t="str">
        <f>"26:field225:" &amp; IF(I269="■",1,IF(L269="■",2,IF(O269="■",3,0)))</f>
        <v>26:field225:0</v>
      </c>
    </row>
    <row r="270" spans="1:35" ht="18.75" customHeight="1" x14ac:dyDescent="0.15">
      <c r="A270" s="107"/>
      <c r="B270" s="108"/>
      <c r="C270" s="109"/>
      <c r="D270" s="110"/>
      <c r="E270" s="111"/>
      <c r="F270" s="112"/>
      <c r="G270" s="111"/>
      <c r="H270" s="370" t="s">
        <v>102</v>
      </c>
      <c r="I270" s="194" t="s">
        <v>348</v>
      </c>
      <c r="J270" s="160" t="s">
        <v>300</v>
      </c>
      <c r="K270" s="168"/>
      <c r="L270" s="205"/>
      <c r="M270" s="195" t="s">
        <v>348</v>
      </c>
      <c r="N270" s="160" t="s">
        <v>301</v>
      </c>
      <c r="O270" s="241"/>
      <c r="P270" s="241"/>
      <c r="Q270" s="195" t="s">
        <v>348</v>
      </c>
      <c r="R270" s="160" t="s">
        <v>302</v>
      </c>
      <c r="S270" s="241"/>
      <c r="T270" s="241"/>
      <c r="U270" s="241"/>
      <c r="V270" s="241"/>
      <c r="W270" s="241"/>
      <c r="X270" s="242"/>
      <c r="Y270" s="147"/>
      <c r="Z270" s="105"/>
      <c r="AA270" s="105"/>
      <c r="AB270" s="106"/>
      <c r="AC270" s="406"/>
      <c r="AD270" s="407"/>
      <c r="AE270" s="407"/>
      <c r="AF270" s="408"/>
      <c r="AI270" s="119" t="str">
        <f>"26:"&amp;IF(AND(I270="□",M270="□",Q270="□",I271="□",Q271="□"),"koriha_rryoho1_code:0:koriha_sryoho_code:0:koriha_gengo_code:0:riha_seisin_code:0:koriha_other_code:0",IF(I270="■","koriha_rryoho1_code:2","koriha_rryoho1_code:1")
&amp;IF(M270="■",":koriha_sryoho_code:2",":koriha_sryoho_code:1")
&amp;IF(Q270="■",":koriha_gengo_code:2",":koriha_gengo_code:1")
&amp;IF(I271="■",":riha_seisin_code:2",":riha_seisin_code:1")
&amp;IF(Q271="■",":koriha_other_code:2",":koriha_other_code:1"))</f>
        <v>26:koriha_rryoho1_code:0:koriha_sryoho_code:0:koriha_gengo_code:0:riha_seisin_code:0:koriha_other_code:0</v>
      </c>
    </row>
    <row r="271" spans="1:35" ht="18.75" customHeight="1" x14ac:dyDescent="0.15">
      <c r="A271" s="107"/>
      <c r="B271" s="108"/>
      <c r="C271" s="109"/>
      <c r="D271" s="110"/>
      <c r="E271" s="111"/>
      <c r="F271" s="112"/>
      <c r="G271" s="111"/>
      <c r="H271" s="371"/>
      <c r="I271" s="128" t="s">
        <v>348</v>
      </c>
      <c r="J271" s="115" t="s">
        <v>303</v>
      </c>
      <c r="K271" s="145"/>
      <c r="L271" s="145"/>
      <c r="M271" s="145"/>
      <c r="N271" s="145"/>
      <c r="O271" s="145"/>
      <c r="P271" s="145"/>
      <c r="Q271" s="191" t="s">
        <v>348</v>
      </c>
      <c r="R271" s="115" t="s">
        <v>304</v>
      </c>
      <c r="S271" s="144"/>
      <c r="T271" s="145"/>
      <c r="U271" s="145"/>
      <c r="V271" s="145"/>
      <c r="W271" s="145"/>
      <c r="X271" s="146"/>
      <c r="Y271" s="147"/>
      <c r="Z271" s="105"/>
      <c r="AA271" s="105"/>
      <c r="AB271" s="106"/>
      <c r="AC271" s="406"/>
      <c r="AD271" s="407"/>
      <c r="AE271" s="407"/>
      <c r="AF271" s="408"/>
      <c r="AI271" s="119"/>
    </row>
    <row r="272" spans="1:35" ht="18.75" customHeight="1" x14ac:dyDescent="0.15">
      <c r="A272" s="107"/>
      <c r="B272" s="108"/>
      <c r="C272" s="109"/>
      <c r="D272" s="110"/>
      <c r="E272" s="111"/>
      <c r="F272" s="112"/>
      <c r="G272" s="111"/>
      <c r="H272" s="230" t="s">
        <v>111</v>
      </c>
      <c r="I272" s="194" t="s">
        <v>348</v>
      </c>
      <c r="J272" s="149" t="s">
        <v>216</v>
      </c>
      <c r="K272" s="149"/>
      <c r="L272" s="152" t="s">
        <v>348</v>
      </c>
      <c r="M272" s="149" t="s">
        <v>224</v>
      </c>
      <c r="N272" s="149"/>
      <c r="O272" s="152" t="s">
        <v>348</v>
      </c>
      <c r="P272" s="149" t="s">
        <v>225</v>
      </c>
      <c r="Q272" s="196"/>
      <c r="R272" s="152" t="s">
        <v>348</v>
      </c>
      <c r="S272" s="149" t="s">
        <v>248</v>
      </c>
      <c r="T272" s="196"/>
      <c r="U272" s="196"/>
      <c r="V272" s="196"/>
      <c r="W272" s="196"/>
      <c r="X272" s="197"/>
      <c r="Y272" s="147"/>
      <c r="Z272" s="105"/>
      <c r="AA272" s="105"/>
      <c r="AB272" s="106"/>
      <c r="AC272" s="406"/>
      <c r="AD272" s="407"/>
      <c r="AE272" s="407"/>
      <c r="AF272" s="408"/>
      <c r="AI272" s="119" t="str">
        <f>"26:serteikyo_kyoka_code:" &amp; IF(I272="■",1,IF(L272="■",6,IF(O272="■",5,IF(R272="■",7,0))))</f>
        <v>26:serteikyo_kyoka_code:0</v>
      </c>
    </row>
    <row r="273" spans="1:36" ht="18.75" customHeight="1" x14ac:dyDescent="0.15">
      <c r="A273" s="107"/>
      <c r="B273" s="108"/>
      <c r="C273" s="109"/>
      <c r="D273" s="110"/>
      <c r="E273" s="111"/>
      <c r="F273" s="112"/>
      <c r="G273" s="111"/>
      <c r="H273" s="329" t="s">
        <v>409</v>
      </c>
      <c r="I273" s="360" t="s">
        <v>348</v>
      </c>
      <c r="J273" s="359" t="s">
        <v>216</v>
      </c>
      <c r="K273" s="359"/>
      <c r="L273" s="360" t="s">
        <v>348</v>
      </c>
      <c r="M273" s="359" t="s">
        <v>232</v>
      </c>
      <c r="N273" s="359"/>
      <c r="O273" s="198"/>
      <c r="P273" s="198"/>
      <c r="Q273" s="198"/>
      <c r="R273" s="198"/>
      <c r="S273" s="198"/>
      <c r="T273" s="198"/>
      <c r="U273" s="198"/>
      <c r="V273" s="198"/>
      <c r="W273" s="198"/>
      <c r="X273" s="199"/>
      <c r="Y273" s="147"/>
      <c r="Z273" s="105"/>
      <c r="AA273" s="105"/>
      <c r="AB273" s="106"/>
      <c r="AC273" s="406"/>
      <c r="AD273" s="407"/>
      <c r="AE273" s="407"/>
      <c r="AF273" s="408"/>
      <c r="AI273" s="119" t="str">
        <f>"26:field221:" &amp; IF(I273="■",1,IF(L273="■",2,0))</f>
        <v>26:field221:0</v>
      </c>
    </row>
    <row r="274" spans="1:36" ht="18.75" customHeight="1" x14ac:dyDescent="0.15">
      <c r="A274" s="107"/>
      <c r="B274" s="108"/>
      <c r="C274" s="109"/>
      <c r="D274" s="110"/>
      <c r="E274" s="111"/>
      <c r="F274" s="112"/>
      <c r="G274" s="111"/>
      <c r="H274" s="328"/>
      <c r="I274" s="360"/>
      <c r="J274" s="359"/>
      <c r="K274" s="359"/>
      <c r="L274" s="360"/>
      <c r="M274" s="359"/>
      <c r="N274" s="359"/>
      <c r="O274" s="144"/>
      <c r="P274" s="144"/>
      <c r="Q274" s="144"/>
      <c r="R274" s="144"/>
      <c r="S274" s="144"/>
      <c r="T274" s="144"/>
      <c r="U274" s="144"/>
      <c r="V274" s="144"/>
      <c r="W274" s="144"/>
      <c r="X274" s="226"/>
      <c r="Y274" s="147"/>
      <c r="Z274" s="105"/>
      <c r="AA274" s="105"/>
      <c r="AB274" s="106"/>
      <c r="AC274" s="406"/>
      <c r="AD274" s="407"/>
      <c r="AE274" s="407"/>
      <c r="AF274" s="408"/>
    </row>
    <row r="275" spans="1:36" ht="18.75" customHeight="1" x14ac:dyDescent="0.15">
      <c r="A275" s="170"/>
      <c r="B275" s="171"/>
      <c r="C275" s="172"/>
      <c r="D275" s="173"/>
      <c r="E275" s="174"/>
      <c r="F275" s="175"/>
      <c r="G275" s="176"/>
      <c r="H275" s="95" t="s">
        <v>405</v>
      </c>
      <c r="I275" s="177" t="s">
        <v>348</v>
      </c>
      <c r="J275" s="96" t="s">
        <v>216</v>
      </c>
      <c r="K275" s="96"/>
      <c r="L275" s="178" t="s">
        <v>348</v>
      </c>
      <c r="M275" s="96" t="s">
        <v>373</v>
      </c>
      <c r="N275" s="97"/>
      <c r="O275" s="178" t="s">
        <v>348</v>
      </c>
      <c r="P275" s="99" t="s">
        <v>374</v>
      </c>
      <c r="Q275" s="98"/>
      <c r="R275" s="178" t="s">
        <v>348</v>
      </c>
      <c r="S275" s="96" t="s">
        <v>375</v>
      </c>
      <c r="T275" s="98"/>
      <c r="U275" s="178" t="s">
        <v>348</v>
      </c>
      <c r="V275" s="96" t="s">
        <v>376</v>
      </c>
      <c r="W275" s="100"/>
      <c r="X275" s="101"/>
      <c r="Y275" s="179"/>
      <c r="Z275" s="179"/>
      <c r="AA275" s="179"/>
      <c r="AB275" s="180"/>
      <c r="AC275" s="409"/>
      <c r="AD275" s="410"/>
      <c r="AE275" s="410"/>
      <c r="AF275" s="411"/>
      <c r="AG275" s="119"/>
      <c r="AH275" s="119"/>
      <c r="AI275" s="119" t="str">
        <f>"26:shoguukaizen_code:"&amp;IF(I275="■",1,IF(L275="■",7,IF(O275="■",8,IF(R275="■",9,IF(U275="■","A",0)))))</f>
        <v>26:shoguukaizen_code:0</v>
      </c>
    </row>
    <row r="276" spans="1:36" s="119" customFormat="1" ht="18.75" customHeight="1" x14ac:dyDescent="0.15">
      <c r="A276" s="130"/>
      <c r="B276" s="131"/>
      <c r="C276" s="248"/>
      <c r="D276" s="249"/>
      <c r="E276" s="126"/>
      <c r="F276" s="134"/>
      <c r="G276" s="135"/>
      <c r="H276" s="214" t="s">
        <v>103</v>
      </c>
      <c r="I276" s="183" t="s">
        <v>348</v>
      </c>
      <c r="J276" s="184" t="s">
        <v>360</v>
      </c>
      <c r="K276" s="185"/>
      <c r="L276" s="186"/>
      <c r="M276" s="187" t="s">
        <v>348</v>
      </c>
      <c r="N276" s="184" t="s">
        <v>361</v>
      </c>
      <c r="O276" s="185"/>
      <c r="P276" s="185"/>
      <c r="Q276" s="185"/>
      <c r="R276" s="185"/>
      <c r="S276" s="185"/>
      <c r="T276" s="185"/>
      <c r="U276" s="185"/>
      <c r="V276" s="185"/>
      <c r="W276" s="185"/>
      <c r="X276" s="250"/>
      <c r="Y276" s="136" t="s">
        <v>348</v>
      </c>
      <c r="Z276" s="124" t="s">
        <v>215</v>
      </c>
      <c r="AA276" s="124"/>
      <c r="AB276" s="139"/>
      <c r="AC276" s="311"/>
      <c r="AD276" s="372"/>
      <c r="AE276" s="372"/>
      <c r="AF276" s="373"/>
      <c r="AG276" s="119" t="str">
        <f>"ser_code = '" &amp; IF(A284="■",26,"") &amp; "'"</f>
        <v>ser_code = ''</v>
      </c>
      <c r="AH276" s="119" t="str">
        <f>"26:jininkbn_code:"&amp;IF(F282="■",1,IF(F284="■",3,IF(F286="■",4,IF(F288="■",2,0))))</f>
        <v>26:jininkbn_code:0</v>
      </c>
      <c r="AI276" s="119" t="str">
        <f>"26:sintaikousoku_code:" &amp; IF(I276="■",1,IF(M276="■",2,0))</f>
        <v>26:sintaikousoku_code:0</v>
      </c>
      <c r="AJ276" s="119" t="str">
        <f>"26:field203:" &amp; IF(Y276="■",1,IF(Y277="■",2,0))</f>
        <v>26:field203:0</v>
      </c>
    </row>
    <row r="277" spans="1:36" ht="19.5" customHeight="1" x14ac:dyDescent="0.15">
      <c r="A277" s="107"/>
      <c r="B277" s="108"/>
      <c r="C277" s="109"/>
      <c r="D277" s="110"/>
      <c r="E277" s="111"/>
      <c r="F277" s="112"/>
      <c r="G277" s="113"/>
      <c r="H277" s="252" t="s">
        <v>369</v>
      </c>
      <c r="I277" s="194" t="s">
        <v>348</v>
      </c>
      <c r="J277" s="115" t="s">
        <v>360</v>
      </c>
      <c r="K277" s="166"/>
      <c r="L277" s="116"/>
      <c r="M277" s="191" t="s">
        <v>348</v>
      </c>
      <c r="N277" s="115" t="s">
        <v>370</v>
      </c>
      <c r="O277" s="145"/>
      <c r="P277" s="115"/>
      <c r="Q277" s="145"/>
      <c r="R277" s="145"/>
      <c r="S277" s="145"/>
      <c r="T277" s="145"/>
      <c r="U277" s="145"/>
      <c r="V277" s="145"/>
      <c r="W277" s="145"/>
      <c r="X277" s="146"/>
      <c r="Y277" s="123" t="s">
        <v>348</v>
      </c>
      <c r="Z277" s="104" t="s">
        <v>221</v>
      </c>
      <c r="AA277" s="105"/>
      <c r="AB277" s="106"/>
      <c r="AC277" s="374"/>
      <c r="AD277" s="375"/>
      <c r="AE277" s="375"/>
      <c r="AF277" s="376"/>
      <c r="AG277" s="119" t="str">
        <f>"26:sisetukbn_code:"&amp;IF(D284="■","2",0)</f>
        <v>26:sisetukbn_code:0</v>
      </c>
      <c r="AH277" s="119"/>
      <c r="AI277" s="119" t="str">
        <f>"26:field223:" &amp; IF(I277="■",1,IF(M277="■",2,0))</f>
        <v>26:field223:0</v>
      </c>
      <c r="AJ277" s="119"/>
    </row>
    <row r="278" spans="1:36" ht="19.5" customHeight="1" x14ac:dyDescent="0.15">
      <c r="A278" s="107"/>
      <c r="B278" s="108"/>
      <c r="C278" s="109"/>
      <c r="D278" s="110"/>
      <c r="E278" s="111"/>
      <c r="F278" s="112"/>
      <c r="G278" s="113"/>
      <c r="H278" s="114" t="s">
        <v>390</v>
      </c>
      <c r="I278" s="194" t="s">
        <v>348</v>
      </c>
      <c r="J278" s="115" t="s">
        <v>360</v>
      </c>
      <c r="K278" s="166"/>
      <c r="L278" s="116"/>
      <c r="M278" s="191" t="s">
        <v>348</v>
      </c>
      <c r="N278" s="115" t="s">
        <v>370</v>
      </c>
      <c r="O278" s="145"/>
      <c r="P278" s="115"/>
      <c r="Q278" s="145"/>
      <c r="R278" s="145"/>
      <c r="S278" s="145"/>
      <c r="T278" s="145"/>
      <c r="U278" s="145"/>
      <c r="V278" s="145"/>
      <c r="W278" s="145"/>
      <c r="X278" s="146"/>
      <c r="Y278" s="147"/>
      <c r="Z278" s="104"/>
      <c r="AA278" s="105"/>
      <c r="AB278" s="106"/>
      <c r="AC278" s="374"/>
      <c r="AD278" s="375"/>
      <c r="AE278" s="375"/>
      <c r="AF278" s="376"/>
      <c r="AG278" s="119"/>
      <c r="AH278" s="119"/>
      <c r="AI278" s="119" t="str">
        <f>"26:field232:" &amp; IF(I278="■",1,IF(M278="■",2,0))</f>
        <v>26:field232:0</v>
      </c>
      <c r="AJ278" s="119"/>
    </row>
    <row r="279" spans="1:36" ht="18.75" customHeight="1" x14ac:dyDescent="0.15">
      <c r="A279" s="107"/>
      <c r="B279" s="108"/>
      <c r="C279" s="109"/>
      <c r="D279" s="110"/>
      <c r="E279" s="113"/>
      <c r="F279" s="110"/>
      <c r="G279" s="111"/>
      <c r="H279" s="215" t="s">
        <v>110</v>
      </c>
      <c r="I279" s="194" t="s">
        <v>348</v>
      </c>
      <c r="J279" s="115" t="s">
        <v>265</v>
      </c>
      <c r="K279" s="166"/>
      <c r="L279" s="116"/>
      <c r="M279" s="191" t="s">
        <v>348</v>
      </c>
      <c r="N279" s="115" t="s">
        <v>297</v>
      </c>
      <c r="O279" s="144"/>
      <c r="P279" s="166"/>
      <c r="Q279" s="166"/>
      <c r="R279" s="166"/>
      <c r="S279" s="166"/>
      <c r="T279" s="166"/>
      <c r="U279" s="166"/>
      <c r="V279" s="166"/>
      <c r="W279" s="166"/>
      <c r="X279" s="167"/>
      <c r="Y279" s="147"/>
      <c r="Z279" s="104"/>
      <c r="AA279" s="105"/>
      <c r="AB279" s="106"/>
      <c r="AC279" s="374"/>
      <c r="AD279" s="375"/>
      <c r="AE279" s="375"/>
      <c r="AF279" s="376"/>
      <c r="AI279" s="119" t="str">
        <f>"26:setubi_kijyun_code:" &amp; IF(I279="■",1,IF(M279="■",2,0))</f>
        <v>26:setubi_kijyun_code:0</v>
      </c>
    </row>
    <row r="280" spans="1:36" ht="18.75" customHeight="1" x14ac:dyDescent="0.15">
      <c r="A280" s="107"/>
      <c r="B280" s="108"/>
      <c r="C280" s="109"/>
      <c r="D280" s="110"/>
      <c r="E280" s="113"/>
      <c r="F280" s="110"/>
      <c r="G280" s="111"/>
      <c r="H280" s="230" t="s">
        <v>133</v>
      </c>
      <c r="I280" s="194" t="s">
        <v>348</v>
      </c>
      <c r="J280" s="149" t="s">
        <v>265</v>
      </c>
      <c r="K280" s="150"/>
      <c r="L280" s="151"/>
      <c r="M280" s="152" t="s">
        <v>348</v>
      </c>
      <c r="N280" s="149" t="s">
        <v>297</v>
      </c>
      <c r="O280" s="196"/>
      <c r="P280" s="150"/>
      <c r="Q280" s="150"/>
      <c r="R280" s="150"/>
      <c r="S280" s="150"/>
      <c r="T280" s="150"/>
      <c r="U280" s="150"/>
      <c r="V280" s="150"/>
      <c r="W280" s="150"/>
      <c r="X280" s="159"/>
      <c r="Y280" s="147"/>
      <c r="Z280" s="105"/>
      <c r="AA280" s="105"/>
      <c r="AB280" s="106"/>
      <c r="AC280" s="374"/>
      <c r="AD280" s="375"/>
      <c r="AE280" s="375"/>
      <c r="AF280" s="376"/>
      <c r="AI280" s="119" t="str">
        <f>"26:field163:" &amp; IF(I280="■",1,IF(M280="■",2,0))</f>
        <v>26:field163:0</v>
      </c>
    </row>
    <row r="281" spans="1:36" ht="18.75" customHeight="1" x14ac:dyDescent="0.15">
      <c r="A281" s="107"/>
      <c r="B281" s="108"/>
      <c r="C281" s="109"/>
      <c r="D281" s="110"/>
      <c r="E281" s="113"/>
      <c r="F281" s="110"/>
      <c r="G281" s="111"/>
      <c r="H281" s="230" t="s">
        <v>424</v>
      </c>
      <c r="I281" s="194" t="s">
        <v>348</v>
      </c>
      <c r="J281" s="149" t="s">
        <v>216</v>
      </c>
      <c r="K281" s="150"/>
      <c r="L281" s="152" t="s">
        <v>348</v>
      </c>
      <c r="M281" s="149" t="s">
        <v>232</v>
      </c>
      <c r="N281" s="154"/>
      <c r="O281" s="154"/>
      <c r="P281" s="154"/>
      <c r="Q281" s="150"/>
      <c r="R281" s="150"/>
      <c r="S281" s="150"/>
      <c r="T281" s="150"/>
      <c r="U281" s="150"/>
      <c r="V281" s="150"/>
      <c r="W281" s="150"/>
      <c r="X281" s="159"/>
      <c r="Y281" s="147"/>
      <c r="Z281" s="105"/>
      <c r="AA281" s="105"/>
      <c r="AB281" s="106"/>
      <c r="AC281" s="374"/>
      <c r="AD281" s="375"/>
      <c r="AE281" s="375"/>
      <c r="AF281" s="376"/>
      <c r="AI281" s="119" t="str">
        <f>"26:jyakuninti_uke_code:" &amp; IF(I281="■",1,IF(L281="■",2,0))</f>
        <v>26:jyakuninti_uke_code:0</v>
      </c>
    </row>
    <row r="282" spans="1:36" ht="18.75" customHeight="1" x14ac:dyDescent="0.15">
      <c r="A282" s="107"/>
      <c r="B282" s="108"/>
      <c r="C282" s="109"/>
      <c r="D282" s="110"/>
      <c r="E282" s="113"/>
      <c r="F282" s="128" t="s">
        <v>348</v>
      </c>
      <c r="G282" s="111" t="s">
        <v>327</v>
      </c>
      <c r="H282" s="230" t="s">
        <v>94</v>
      </c>
      <c r="I282" s="194" t="s">
        <v>348</v>
      </c>
      <c r="J282" s="149" t="s">
        <v>230</v>
      </c>
      <c r="K282" s="150"/>
      <c r="L282" s="151"/>
      <c r="M282" s="152" t="s">
        <v>348</v>
      </c>
      <c r="N282" s="149" t="s">
        <v>231</v>
      </c>
      <c r="O282" s="154"/>
      <c r="P282" s="154"/>
      <c r="Q282" s="150"/>
      <c r="R282" s="150"/>
      <c r="S282" s="150"/>
      <c r="T282" s="150"/>
      <c r="U282" s="150"/>
      <c r="V282" s="150"/>
      <c r="W282" s="150"/>
      <c r="X282" s="159"/>
      <c r="Y282" s="147"/>
      <c r="Z282" s="105"/>
      <c r="AA282" s="105"/>
      <c r="AB282" s="106"/>
      <c r="AC282" s="374"/>
      <c r="AD282" s="375"/>
      <c r="AE282" s="375"/>
      <c r="AF282" s="376"/>
      <c r="AI282" s="119" t="str">
        <f>"26:sougei_code:" &amp; IF(I282="■",1,IF(M282="■",2,0))</f>
        <v>26:sougei_code:0</v>
      </c>
    </row>
    <row r="283" spans="1:36" ht="19.5" customHeight="1" x14ac:dyDescent="0.15">
      <c r="A283" s="107"/>
      <c r="B283" s="108"/>
      <c r="C283" s="109"/>
      <c r="D283" s="110"/>
      <c r="E283" s="113"/>
      <c r="F283" s="110"/>
      <c r="G283" s="111" t="s">
        <v>306</v>
      </c>
      <c r="H283" s="114" t="s">
        <v>372</v>
      </c>
      <c r="I283" s="194" t="s">
        <v>348</v>
      </c>
      <c r="J283" s="149" t="s">
        <v>216</v>
      </c>
      <c r="K283" s="149"/>
      <c r="L283" s="152" t="s">
        <v>348</v>
      </c>
      <c r="M283" s="149" t="s">
        <v>232</v>
      </c>
      <c r="N283" s="149"/>
      <c r="O283" s="154"/>
      <c r="P283" s="149"/>
      <c r="Q283" s="154"/>
      <c r="R283" s="154"/>
      <c r="S283" s="154"/>
      <c r="T283" s="154"/>
      <c r="U283" s="154"/>
      <c r="V283" s="154"/>
      <c r="W283" s="154"/>
      <c r="X283" s="155"/>
      <c r="Y283" s="105"/>
      <c r="Z283" s="105"/>
      <c r="AA283" s="105"/>
      <c r="AB283" s="106"/>
      <c r="AC283" s="374"/>
      <c r="AD283" s="375"/>
      <c r="AE283" s="375"/>
      <c r="AF283" s="376"/>
      <c r="AI283" s="119" t="str">
        <f>"26:field224:" &amp; IF(I283="■",1,IF(L283="■",2,0))</f>
        <v>26:field224:0</v>
      </c>
    </row>
    <row r="284" spans="1:36" ht="18.75" customHeight="1" x14ac:dyDescent="0.15">
      <c r="A284" s="128" t="s">
        <v>348</v>
      </c>
      <c r="B284" s="108">
        <v>26</v>
      </c>
      <c r="C284" s="109" t="s">
        <v>433</v>
      </c>
      <c r="D284" s="128" t="s">
        <v>348</v>
      </c>
      <c r="E284" s="113" t="s">
        <v>434</v>
      </c>
      <c r="F284" s="128" t="s">
        <v>348</v>
      </c>
      <c r="G284" s="111" t="s">
        <v>328</v>
      </c>
      <c r="H284" s="230" t="s">
        <v>106</v>
      </c>
      <c r="I284" s="194" t="s">
        <v>348</v>
      </c>
      <c r="J284" s="149" t="s">
        <v>216</v>
      </c>
      <c r="K284" s="150"/>
      <c r="L284" s="152" t="s">
        <v>348</v>
      </c>
      <c r="M284" s="149" t="s">
        <v>232</v>
      </c>
      <c r="N284" s="154"/>
      <c r="O284" s="154"/>
      <c r="P284" s="154"/>
      <c r="Q284" s="150"/>
      <c r="R284" s="150"/>
      <c r="S284" s="150"/>
      <c r="T284" s="150"/>
      <c r="U284" s="150"/>
      <c r="V284" s="150"/>
      <c r="W284" s="150"/>
      <c r="X284" s="159"/>
      <c r="Y284" s="147"/>
      <c r="Z284" s="105"/>
      <c r="AA284" s="105"/>
      <c r="AB284" s="106"/>
      <c r="AC284" s="374"/>
      <c r="AD284" s="375"/>
      <c r="AE284" s="375"/>
      <c r="AF284" s="376"/>
      <c r="AI284" s="119" t="str">
        <f>"26:ryouyoushoku_code:" &amp; IF(I284="■",1,IF(L284="■",2,0))</f>
        <v>26:ryouyoushoku_code:0</v>
      </c>
    </row>
    <row r="285" spans="1:36" ht="18.75" customHeight="1" x14ac:dyDescent="0.15">
      <c r="A285" s="107"/>
      <c r="B285" s="108"/>
      <c r="C285" s="109"/>
      <c r="D285" s="110"/>
      <c r="E285" s="113"/>
      <c r="F285" s="110"/>
      <c r="G285" s="111" t="s">
        <v>308</v>
      </c>
      <c r="H285" s="230" t="s">
        <v>165</v>
      </c>
      <c r="I285" s="194" t="s">
        <v>348</v>
      </c>
      <c r="J285" s="149" t="s">
        <v>216</v>
      </c>
      <c r="K285" s="149"/>
      <c r="L285" s="152" t="s">
        <v>348</v>
      </c>
      <c r="M285" s="149" t="s">
        <v>217</v>
      </c>
      <c r="N285" s="149"/>
      <c r="O285" s="152" t="s">
        <v>348</v>
      </c>
      <c r="P285" s="149" t="s">
        <v>218</v>
      </c>
      <c r="Q285" s="154"/>
      <c r="R285" s="150"/>
      <c r="S285" s="150"/>
      <c r="T285" s="150"/>
      <c r="U285" s="150"/>
      <c r="V285" s="150"/>
      <c r="W285" s="150"/>
      <c r="X285" s="159"/>
      <c r="Y285" s="147"/>
      <c r="Z285" s="105"/>
      <c r="AA285" s="105"/>
      <c r="AB285" s="106"/>
      <c r="AC285" s="374"/>
      <c r="AD285" s="375"/>
      <c r="AE285" s="375"/>
      <c r="AF285" s="376"/>
      <c r="AI285" s="119" t="str">
        <f>"26:ninti_senmoncare_code:" &amp; IF(I285="■",1,IF(O285="■",3,IF(L285="■",2,0)))</f>
        <v>26:ninti_senmoncare_code:0</v>
      </c>
    </row>
    <row r="286" spans="1:36" ht="18.75" customHeight="1" x14ac:dyDescent="0.15">
      <c r="A286" s="107"/>
      <c r="B286" s="108"/>
      <c r="C286" s="109"/>
      <c r="D286" s="110"/>
      <c r="E286" s="113"/>
      <c r="F286" s="128" t="s">
        <v>348</v>
      </c>
      <c r="G286" s="111" t="s">
        <v>329</v>
      </c>
      <c r="H286" s="370" t="s">
        <v>101</v>
      </c>
      <c r="I286" s="194" t="s">
        <v>348</v>
      </c>
      <c r="J286" s="160" t="s">
        <v>285</v>
      </c>
      <c r="K286" s="160"/>
      <c r="L286" s="241"/>
      <c r="M286" s="241"/>
      <c r="N286" s="241"/>
      <c r="O286" s="241"/>
      <c r="P286" s="195" t="s">
        <v>348</v>
      </c>
      <c r="Q286" s="160" t="s">
        <v>286</v>
      </c>
      <c r="R286" s="241"/>
      <c r="S286" s="241"/>
      <c r="T286" s="241"/>
      <c r="U286" s="241"/>
      <c r="V286" s="241"/>
      <c r="W286" s="241"/>
      <c r="X286" s="242"/>
      <c r="Y286" s="147"/>
      <c r="Z286" s="105"/>
      <c r="AA286" s="105"/>
      <c r="AB286" s="106"/>
      <c r="AC286" s="374"/>
      <c r="AD286" s="375"/>
      <c r="AE286" s="375"/>
      <c r="AF286" s="376"/>
      <c r="AI286" s="119" t="str">
        <f>"26:" &amp; IF(AND(I286="□",P286="□",I287="□"),"tokusin_jyusho_code:0:tokusin_yakuzai_code:0:shuudan_comu_code:0",IF(I286="■","tokusin_jyusho_code:2","tokusin_jyusho_code:1")
&amp;IF(P286="■",":tokusin_yakuzai_code:2",":tokusin_yakuzai_code:1")
&amp;IF(I287="■",":shuudan_comu_code:2",":shuudan_comu_code:1"))</f>
        <v>26:tokusin_jyusho_code:0:tokusin_yakuzai_code:0:shuudan_comu_code:0</v>
      </c>
    </row>
    <row r="287" spans="1:36" ht="18.75" customHeight="1" x14ac:dyDescent="0.15">
      <c r="A287" s="107"/>
      <c r="B287" s="108"/>
      <c r="C287" s="109"/>
      <c r="D287" s="110"/>
      <c r="E287" s="113"/>
      <c r="F287" s="110"/>
      <c r="G287" s="111" t="s">
        <v>310</v>
      </c>
      <c r="H287" s="371"/>
      <c r="I287" s="128" t="s">
        <v>348</v>
      </c>
      <c r="J287" s="115" t="s">
        <v>299</v>
      </c>
      <c r="K287" s="145"/>
      <c r="L287" s="145"/>
      <c r="M287" s="145"/>
      <c r="N287" s="145"/>
      <c r="O287" s="145"/>
      <c r="P287" s="145"/>
      <c r="Q287" s="144"/>
      <c r="R287" s="145"/>
      <c r="S287" s="145"/>
      <c r="T287" s="145"/>
      <c r="U287" s="145"/>
      <c r="V287" s="145"/>
      <c r="W287" s="145"/>
      <c r="X287" s="146"/>
      <c r="Y287" s="147"/>
      <c r="Z287" s="105"/>
      <c r="AA287" s="105"/>
      <c r="AB287" s="106"/>
      <c r="AC287" s="374"/>
      <c r="AD287" s="375"/>
      <c r="AE287" s="375"/>
      <c r="AF287" s="376"/>
      <c r="AI287" s="119"/>
    </row>
    <row r="288" spans="1:36" ht="18.75" customHeight="1" x14ac:dyDescent="0.15">
      <c r="A288" s="107"/>
      <c r="B288" s="108"/>
      <c r="C288" s="109"/>
      <c r="D288" s="110"/>
      <c r="E288" s="113"/>
      <c r="F288" s="128" t="s">
        <v>348</v>
      </c>
      <c r="G288" s="111" t="s">
        <v>330</v>
      </c>
      <c r="H288" s="240" t="s">
        <v>385</v>
      </c>
      <c r="I288" s="194" t="s">
        <v>348</v>
      </c>
      <c r="J288" s="149" t="s">
        <v>216</v>
      </c>
      <c r="K288" s="149"/>
      <c r="L288" s="152" t="s">
        <v>348</v>
      </c>
      <c r="M288" s="149" t="s">
        <v>217</v>
      </c>
      <c r="N288" s="149"/>
      <c r="O288" s="152" t="s">
        <v>348</v>
      </c>
      <c r="P288" s="149" t="s">
        <v>218</v>
      </c>
      <c r="Q288" s="154"/>
      <c r="R288" s="154"/>
      <c r="S288" s="154"/>
      <c r="T288" s="154"/>
      <c r="U288" s="241"/>
      <c r="V288" s="241"/>
      <c r="W288" s="241"/>
      <c r="X288" s="242"/>
      <c r="Y288" s="147"/>
      <c r="Z288" s="105"/>
      <c r="AA288" s="105"/>
      <c r="AB288" s="106"/>
      <c r="AC288" s="374"/>
      <c r="AD288" s="375"/>
      <c r="AE288" s="375"/>
      <c r="AF288" s="376"/>
      <c r="AI288" s="119" t="str">
        <f>"26:field225:" &amp; IF(I288="■",1,IF(L288="■",2,IF(O288="■",3,0)))</f>
        <v>26:field225:0</v>
      </c>
    </row>
    <row r="289" spans="1:36" ht="18.75" customHeight="1" x14ac:dyDescent="0.15">
      <c r="A289" s="107"/>
      <c r="B289" s="108"/>
      <c r="C289" s="109"/>
      <c r="D289" s="110"/>
      <c r="E289" s="113"/>
      <c r="F289" s="110"/>
      <c r="G289" s="111"/>
      <c r="H289" s="370" t="s">
        <v>102</v>
      </c>
      <c r="I289" s="194" t="s">
        <v>348</v>
      </c>
      <c r="J289" s="160" t="s">
        <v>300</v>
      </c>
      <c r="K289" s="168"/>
      <c r="L289" s="205"/>
      <c r="M289" s="195" t="s">
        <v>348</v>
      </c>
      <c r="N289" s="160" t="s">
        <v>301</v>
      </c>
      <c r="O289" s="241"/>
      <c r="P289" s="241"/>
      <c r="Q289" s="195" t="s">
        <v>348</v>
      </c>
      <c r="R289" s="160" t="s">
        <v>302</v>
      </c>
      <c r="S289" s="241"/>
      <c r="T289" s="241"/>
      <c r="U289" s="241"/>
      <c r="V289" s="241"/>
      <c r="W289" s="241"/>
      <c r="X289" s="242"/>
      <c r="Y289" s="147"/>
      <c r="Z289" s="105"/>
      <c r="AA289" s="105"/>
      <c r="AB289" s="106"/>
      <c r="AC289" s="374"/>
      <c r="AD289" s="375"/>
      <c r="AE289" s="375"/>
      <c r="AF289" s="376"/>
      <c r="AI289" s="119" t="str">
        <f>"26:"&amp;IF(AND(I289="□",M289="□",Q289="□",I290="□",Q290="□"),"koriha_rryoho1_code:0:koriha_sryoho_code:0:koriha_gengo_code:0:riha_seisin_code:0:koriha_other_code:0",IF(I289="■","koriha_rryoho1_code:2","koriha_rryoho1_code:1")
&amp;IF(M289="■",":koriha_sryoho_code:2",":koriha_sryoho_code:1")
&amp;IF(Q289="■",":koriha_gengo_code:2",":koriha_gengo_code:1")
&amp;IF(I290="■",":riha_seisin_code:2",":riha_seisin_code:1")
&amp;IF(Q290="■",":koriha_other_code:2",":koriha_other_code:1"))</f>
        <v>26:koriha_rryoho1_code:0:koriha_sryoho_code:0:koriha_gengo_code:0:riha_seisin_code:0:koriha_other_code:0</v>
      </c>
    </row>
    <row r="290" spans="1:36" ht="18.75" customHeight="1" x14ac:dyDescent="0.15">
      <c r="A290" s="107"/>
      <c r="B290" s="108"/>
      <c r="C290" s="109"/>
      <c r="D290" s="110"/>
      <c r="E290" s="113"/>
      <c r="F290" s="110"/>
      <c r="G290" s="111"/>
      <c r="H290" s="371"/>
      <c r="I290" s="128" t="s">
        <v>348</v>
      </c>
      <c r="J290" s="115" t="s">
        <v>303</v>
      </c>
      <c r="K290" s="145"/>
      <c r="L290" s="145"/>
      <c r="M290" s="145"/>
      <c r="N290" s="145"/>
      <c r="O290" s="145"/>
      <c r="P290" s="145"/>
      <c r="Q290" s="191" t="s">
        <v>348</v>
      </c>
      <c r="R290" s="115" t="s">
        <v>304</v>
      </c>
      <c r="S290" s="144"/>
      <c r="T290" s="145"/>
      <c r="U290" s="145"/>
      <c r="V290" s="145"/>
      <c r="W290" s="145"/>
      <c r="X290" s="146"/>
      <c r="Y290" s="147"/>
      <c r="Z290" s="105"/>
      <c r="AA290" s="105"/>
      <c r="AB290" s="106"/>
      <c r="AC290" s="374"/>
      <c r="AD290" s="375"/>
      <c r="AE290" s="375"/>
      <c r="AF290" s="376"/>
      <c r="AI290" s="119"/>
    </row>
    <row r="291" spans="1:36" ht="18.75" customHeight="1" x14ac:dyDescent="0.15">
      <c r="A291" s="107"/>
      <c r="B291" s="108"/>
      <c r="C291" s="109"/>
      <c r="D291" s="110"/>
      <c r="E291" s="113"/>
      <c r="F291" s="110"/>
      <c r="G291" s="111"/>
      <c r="H291" s="230" t="s">
        <v>111</v>
      </c>
      <c r="I291" s="194" t="s">
        <v>348</v>
      </c>
      <c r="J291" s="149" t="s">
        <v>216</v>
      </c>
      <c r="K291" s="149"/>
      <c r="L291" s="152" t="s">
        <v>348</v>
      </c>
      <c r="M291" s="149" t="s">
        <v>224</v>
      </c>
      <c r="N291" s="149"/>
      <c r="O291" s="152" t="s">
        <v>348</v>
      </c>
      <c r="P291" s="149" t="s">
        <v>225</v>
      </c>
      <c r="Q291" s="196"/>
      <c r="R291" s="152" t="s">
        <v>348</v>
      </c>
      <c r="S291" s="149" t="s">
        <v>248</v>
      </c>
      <c r="T291" s="196"/>
      <c r="U291" s="196"/>
      <c r="V291" s="196"/>
      <c r="W291" s="196"/>
      <c r="X291" s="197"/>
      <c r="Y291" s="147"/>
      <c r="Z291" s="105"/>
      <c r="AA291" s="105"/>
      <c r="AB291" s="106"/>
      <c r="AC291" s="374"/>
      <c r="AD291" s="375"/>
      <c r="AE291" s="375"/>
      <c r="AF291" s="376"/>
      <c r="AI291" s="119" t="str">
        <f>"26:serteikyo_kyoka_code:" &amp; IF(I291="■",1,IF(L291="■",6,IF(O291="■",5,IF(R291="■",7,0))))</f>
        <v>26:serteikyo_kyoka_code:0</v>
      </c>
    </row>
    <row r="292" spans="1:36" ht="18.75" customHeight="1" x14ac:dyDescent="0.15">
      <c r="A292" s="107"/>
      <c r="B292" s="108"/>
      <c r="C292" s="109"/>
      <c r="D292" s="110"/>
      <c r="E292" s="113"/>
      <c r="F292" s="110"/>
      <c r="G292" s="111"/>
      <c r="H292" s="329" t="s">
        <v>409</v>
      </c>
      <c r="I292" s="360" t="s">
        <v>348</v>
      </c>
      <c r="J292" s="359" t="s">
        <v>216</v>
      </c>
      <c r="K292" s="359"/>
      <c r="L292" s="360" t="s">
        <v>348</v>
      </c>
      <c r="M292" s="359" t="s">
        <v>232</v>
      </c>
      <c r="N292" s="359"/>
      <c r="O292" s="198"/>
      <c r="P292" s="198"/>
      <c r="Q292" s="198"/>
      <c r="R292" s="198"/>
      <c r="S292" s="198"/>
      <c r="T292" s="198"/>
      <c r="U292" s="198"/>
      <c r="V292" s="198"/>
      <c r="W292" s="198"/>
      <c r="X292" s="199"/>
      <c r="Y292" s="147"/>
      <c r="Z292" s="105"/>
      <c r="AA292" s="105"/>
      <c r="AB292" s="106"/>
      <c r="AC292" s="374"/>
      <c r="AD292" s="375"/>
      <c r="AE292" s="375"/>
      <c r="AF292" s="376"/>
      <c r="AI292" s="119" t="str">
        <f>"26:field221:" &amp; IF(I292="■",1,IF(L292="■",2,0))</f>
        <v>26:field221:0</v>
      </c>
    </row>
    <row r="293" spans="1:36" ht="18.75" customHeight="1" x14ac:dyDescent="0.15">
      <c r="A293" s="107"/>
      <c r="B293" s="108"/>
      <c r="C293" s="109"/>
      <c r="D293" s="110"/>
      <c r="E293" s="113"/>
      <c r="H293" s="328"/>
      <c r="I293" s="360"/>
      <c r="J293" s="359"/>
      <c r="K293" s="359"/>
      <c r="L293" s="360"/>
      <c r="M293" s="359"/>
      <c r="N293" s="359"/>
      <c r="O293" s="144"/>
      <c r="P293" s="144"/>
      <c r="Q293" s="144"/>
      <c r="R293" s="144"/>
      <c r="S293" s="144"/>
      <c r="T293" s="144"/>
      <c r="U293" s="144"/>
      <c r="V293" s="144"/>
      <c r="W293" s="144"/>
      <c r="X293" s="226"/>
      <c r="Y293" s="147"/>
      <c r="Z293" s="105"/>
      <c r="AA293" s="105"/>
      <c r="AB293" s="106"/>
      <c r="AC293" s="374"/>
      <c r="AD293" s="375"/>
      <c r="AE293" s="375"/>
      <c r="AF293" s="376"/>
    </row>
    <row r="294" spans="1:36" ht="18.75" customHeight="1" x14ac:dyDescent="0.15">
      <c r="A294" s="170"/>
      <c r="B294" s="171"/>
      <c r="C294" s="172"/>
      <c r="D294" s="173"/>
      <c r="E294" s="174"/>
      <c r="F294" s="175"/>
      <c r="G294" s="176"/>
      <c r="H294" s="95" t="s">
        <v>405</v>
      </c>
      <c r="I294" s="177" t="s">
        <v>348</v>
      </c>
      <c r="J294" s="96" t="s">
        <v>216</v>
      </c>
      <c r="K294" s="96"/>
      <c r="L294" s="178" t="s">
        <v>348</v>
      </c>
      <c r="M294" s="96" t="s">
        <v>373</v>
      </c>
      <c r="N294" s="97"/>
      <c r="O294" s="178" t="s">
        <v>348</v>
      </c>
      <c r="P294" s="99" t="s">
        <v>374</v>
      </c>
      <c r="Q294" s="98"/>
      <c r="R294" s="178" t="s">
        <v>348</v>
      </c>
      <c r="S294" s="96" t="s">
        <v>375</v>
      </c>
      <c r="T294" s="98"/>
      <c r="U294" s="178" t="s">
        <v>348</v>
      </c>
      <c r="V294" s="96" t="s">
        <v>376</v>
      </c>
      <c r="W294" s="100"/>
      <c r="X294" s="101"/>
      <c r="Y294" s="179"/>
      <c r="Z294" s="179"/>
      <c r="AA294" s="179"/>
      <c r="AB294" s="180"/>
      <c r="AC294" s="377"/>
      <c r="AD294" s="378"/>
      <c r="AE294" s="378"/>
      <c r="AF294" s="379"/>
      <c r="AG294" s="119"/>
      <c r="AH294" s="119"/>
      <c r="AI294" s="119" t="str">
        <f>"26:shoguukaizen_code:"&amp;IF(I294="■",1,IF(L294="■",7,IF(O294="■",8,IF(R294="■",9,IF(U294="■","A",0)))))</f>
        <v>26:shoguukaizen_code:0</v>
      </c>
    </row>
    <row r="295" spans="1:36" s="119" customFormat="1" ht="18.75" customHeight="1" x14ac:dyDescent="0.15">
      <c r="A295" s="130"/>
      <c r="B295" s="131"/>
      <c r="C295" s="248"/>
      <c r="D295" s="249"/>
      <c r="E295" s="126"/>
      <c r="F295" s="134"/>
      <c r="G295" s="135"/>
      <c r="H295" s="214" t="s">
        <v>103</v>
      </c>
      <c r="I295" s="183" t="s">
        <v>348</v>
      </c>
      <c r="J295" s="184" t="s">
        <v>360</v>
      </c>
      <c r="K295" s="185"/>
      <c r="L295" s="186"/>
      <c r="M295" s="187" t="s">
        <v>348</v>
      </c>
      <c r="N295" s="184" t="s">
        <v>361</v>
      </c>
      <c r="O295" s="185"/>
      <c r="P295" s="185"/>
      <c r="Q295" s="185"/>
      <c r="R295" s="185"/>
      <c r="S295" s="185"/>
      <c r="T295" s="185"/>
      <c r="U295" s="185"/>
      <c r="V295" s="185"/>
      <c r="W295" s="185"/>
      <c r="X295" s="250"/>
      <c r="Y295" s="140" t="s">
        <v>348</v>
      </c>
      <c r="Z295" s="124" t="s">
        <v>215</v>
      </c>
      <c r="AA295" s="251"/>
      <c r="AB295" s="139"/>
      <c r="AC295" s="421"/>
      <c r="AD295" s="372"/>
      <c r="AE295" s="372"/>
      <c r="AF295" s="373"/>
      <c r="AG295" s="119" t="str">
        <f>"ser_code = '" &amp; IF(A305="■",26,"") &amp; "'"</f>
        <v>ser_code = ''</v>
      </c>
      <c r="AH295" s="119" t="str">
        <f>"26:jininkbn_code:"&amp;IF(F303="■",1,IF(F305="■",2,IF(F307="■",3,0)))</f>
        <v>26:jininkbn_code:0</v>
      </c>
      <c r="AI295" s="119" t="str">
        <f>"26:sintaikousoku_code:" &amp; IF(I295="■",1,IF(M295="■",2,0))</f>
        <v>26:sintaikousoku_code:0</v>
      </c>
      <c r="AJ295" s="119" t="str">
        <f>"26:field203:" &amp; IF(Y295="■",1,IF(Y296="■",2,0))</f>
        <v>26:field203:0</v>
      </c>
    </row>
    <row r="296" spans="1:36" ht="19.5" customHeight="1" x14ac:dyDescent="0.15">
      <c r="A296" s="107"/>
      <c r="B296" s="108"/>
      <c r="C296" s="109"/>
      <c r="D296" s="110"/>
      <c r="E296" s="111"/>
      <c r="F296" s="112"/>
      <c r="G296" s="113"/>
      <c r="H296" s="252" t="s">
        <v>369</v>
      </c>
      <c r="I296" s="194" t="s">
        <v>348</v>
      </c>
      <c r="J296" s="115" t="s">
        <v>360</v>
      </c>
      <c r="K296" s="166"/>
      <c r="L296" s="116"/>
      <c r="M296" s="191" t="s">
        <v>348</v>
      </c>
      <c r="N296" s="115" t="s">
        <v>370</v>
      </c>
      <c r="O296" s="145"/>
      <c r="P296" s="115"/>
      <c r="Q296" s="145"/>
      <c r="R296" s="145"/>
      <c r="S296" s="145"/>
      <c r="T296" s="145"/>
      <c r="U296" s="145"/>
      <c r="V296" s="145"/>
      <c r="W296" s="145"/>
      <c r="X296" s="146"/>
      <c r="Y296" s="123" t="s">
        <v>348</v>
      </c>
      <c r="Z296" s="104" t="s">
        <v>221</v>
      </c>
      <c r="AA296" s="104"/>
      <c r="AB296" s="106"/>
      <c r="AC296" s="374"/>
      <c r="AD296" s="375"/>
      <c r="AE296" s="375"/>
      <c r="AF296" s="376"/>
      <c r="AG296" s="119" t="str">
        <f>"26:sisetukbn_code:"&amp;IF(D305="■","7",0)</f>
        <v>26:sisetukbn_code:0</v>
      </c>
      <c r="AH296" s="119"/>
      <c r="AI296" s="119" t="str">
        <f>"26:field223:" &amp; IF(I296="■",1,IF(M296="■",2,0))</f>
        <v>26:field223:0</v>
      </c>
      <c r="AJ296" s="119"/>
    </row>
    <row r="297" spans="1:36" ht="19.5" customHeight="1" x14ac:dyDescent="0.15">
      <c r="A297" s="107"/>
      <c r="B297" s="108"/>
      <c r="C297" s="109"/>
      <c r="D297" s="110"/>
      <c r="E297" s="111"/>
      <c r="F297" s="112"/>
      <c r="G297" s="113"/>
      <c r="H297" s="114" t="s">
        <v>390</v>
      </c>
      <c r="I297" s="194" t="s">
        <v>348</v>
      </c>
      <c r="J297" s="115" t="s">
        <v>360</v>
      </c>
      <c r="K297" s="166"/>
      <c r="L297" s="116"/>
      <c r="M297" s="191" t="s">
        <v>348</v>
      </c>
      <c r="N297" s="115" t="s">
        <v>370</v>
      </c>
      <c r="O297" s="145"/>
      <c r="P297" s="115"/>
      <c r="Q297" s="145"/>
      <c r="R297" s="145"/>
      <c r="S297" s="145"/>
      <c r="T297" s="145"/>
      <c r="U297" s="145"/>
      <c r="V297" s="145"/>
      <c r="W297" s="145"/>
      <c r="X297" s="146"/>
      <c r="Y297" s="147"/>
      <c r="Z297" s="104"/>
      <c r="AA297" s="105"/>
      <c r="AB297" s="106"/>
      <c r="AC297" s="374"/>
      <c r="AD297" s="375"/>
      <c r="AE297" s="375"/>
      <c r="AF297" s="376"/>
      <c r="AG297" s="119"/>
      <c r="AH297" s="119"/>
      <c r="AI297" s="119" t="str">
        <f>"26:field232:" &amp; IF(I297="■",1,IF(M297="■",2,0))</f>
        <v>26:field232:0</v>
      </c>
      <c r="AJ297" s="119"/>
    </row>
    <row r="298" spans="1:36" ht="18.75" customHeight="1" x14ac:dyDescent="0.15">
      <c r="A298" s="107"/>
      <c r="B298" s="108"/>
      <c r="C298" s="109"/>
      <c r="D298" s="110"/>
      <c r="E298" s="111"/>
      <c r="F298" s="112"/>
      <c r="G298" s="111"/>
      <c r="H298" s="215" t="s">
        <v>97</v>
      </c>
      <c r="I298" s="194" t="s">
        <v>348</v>
      </c>
      <c r="J298" s="115" t="s">
        <v>230</v>
      </c>
      <c r="K298" s="166"/>
      <c r="L298" s="116"/>
      <c r="M298" s="191" t="s">
        <v>348</v>
      </c>
      <c r="N298" s="115" t="s">
        <v>231</v>
      </c>
      <c r="O298" s="145"/>
      <c r="P298" s="145"/>
      <c r="Q298" s="145"/>
      <c r="R298" s="145"/>
      <c r="S298" s="145"/>
      <c r="T298" s="145"/>
      <c r="U298" s="145"/>
      <c r="V298" s="145"/>
      <c r="W298" s="145"/>
      <c r="X298" s="146"/>
      <c r="Y298" s="147"/>
      <c r="Z298" s="104"/>
      <c r="AA298" s="105"/>
      <c r="AB298" s="106"/>
      <c r="AC298" s="374"/>
      <c r="AD298" s="375"/>
      <c r="AE298" s="375"/>
      <c r="AF298" s="376"/>
      <c r="AG298" s="119"/>
      <c r="AH298" s="119"/>
      <c r="AI298" s="119" t="str">
        <f>"26:unitcare_code:" &amp; IF(I298="■",1,IF(M298="■",2,0))</f>
        <v>26:unitcare_code:0</v>
      </c>
      <c r="AJ298" s="119"/>
    </row>
    <row r="299" spans="1:36" ht="18.75" customHeight="1" x14ac:dyDescent="0.15">
      <c r="A299" s="107"/>
      <c r="B299" s="108"/>
      <c r="C299" s="109"/>
      <c r="D299" s="110"/>
      <c r="E299" s="111"/>
      <c r="F299" s="112"/>
      <c r="G299" s="111"/>
      <c r="H299" s="230" t="s">
        <v>110</v>
      </c>
      <c r="I299" s="194" t="s">
        <v>348</v>
      </c>
      <c r="J299" s="149" t="s">
        <v>265</v>
      </c>
      <c r="K299" s="150"/>
      <c r="L299" s="151"/>
      <c r="M299" s="152" t="s">
        <v>348</v>
      </c>
      <c r="N299" s="149" t="s">
        <v>297</v>
      </c>
      <c r="O299" s="154"/>
      <c r="P299" s="154"/>
      <c r="Q299" s="154"/>
      <c r="R299" s="154"/>
      <c r="S299" s="154"/>
      <c r="T299" s="154"/>
      <c r="U299" s="154"/>
      <c r="V299" s="154"/>
      <c r="W299" s="154"/>
      <c r="X299" s="155"/>
      <c r="Y299" s="147"/>
      <c r="Z299" s="105"/>
      <c r="AA299" s="105"/>
      <c r="AB299" s="106"/>
      <c r="AC299" s="374"/>
      <c r="AD299" s="375"/>
      <c r="AE299" s="375"/>
      <c r="AF299" s="376"/>
      <c r="AG299" s="119"/>
      <c r="AH299" s="119"/>
      <c r="AI299" s="119" t="str">
        <f>"26:setubi_kijyun_code:" &amp; IF(I299="■",1,IF(M299="■",2,0))</f>
        <v>26:setubi_kijyun_code:0</v>
      </c>
      <c r="AJ299" s="119"/>
    </row>
    <row r="300" spans="1:36" ht="18.75" customHeight="1" x14ac:dyDescent="0.15">
      <c r="A300" s="107"/>
      <c r="B300" s="108"/>
      <c r="C300" s="109"/>
      <c r="D300" s="110"/>
      <c r="E300" s="111"/>
      <c r="F300" s="112"/>
      <c r="G300" s="111"/>
      <c r="H300" s="230" t="s">
        <v>133</v>
      </c>
      <c r="I300" s="194" t="s">
        <v>348</v>
      </c>
      <c r="J300" s="149" t="s">
        <v>265</v>
      </c>
      <c r="K300" s="150"/>
      <c r="L300" s="151"/>
      <c r="M300" s="152" t="s">
        <v>348</v>
      </c>
      <c r="N300" s="149" t="s">
        <v>297</v>
      </c>
      <c r="O300" s="154"/>
      <c r="P300" s="154"/>
      <c r="Q300" s="154"/>
      <c r="R300" s="154"/>
      <c r="S300" s="154"/>
      <c r="T300" s="154"/>
      <c r="U300" s="154"/>
      <c r="V300" s="154"/>
      <c r="W300" s="154"/>
      <c r="X300" s="155"/>
      <c r="Y300" s="147"/>
      <c r="Z300" s="105"/>
      <c r="AA300" s="105"/>
      <c r="AB300" s="106"/>
      <c r="AC300" s="374"/>
      <c r="AD300" s="375"/>
      <c r="AE300" s="375"/>
      <c r="AF300" s="376"/>
      <c r="AG300" s="119"/>
      <c r="AH300" s="119"/>
      <c r="AI300" s="119" t="str">
        <f>"26:field163:" &amp; IF(I300="■",1,IF(M300="■",2,0))</f>
        <v>26:field163:0</v>
      </c>
      <c r="AJ300" s="119"/>
    </row>
    <row r="301" spans="1:36" ht="18.75" customHeight="1" x14ac:dyDescent="0.15">
      <c r="A301" s="107"/>
      <c r="B301" s="108"/>
      <c r="C301" s="109"/>
      <c r="D301" s="110"/>
      <c r="E301" s="111"/>
      <c r="F301" s="112"/>
      <c r="G301" s="111"/>
      <c r="H301" s="230" t="s">
        <v>424</v>
      </c>
      <c r="I301" s="194" t="s">
        <v>348</v>
      </c>
      <c r="J301" s="149" t="s">
        <v>216</v>
      </c>
      <c r="K301" s="150"/>
      <c r="L301" s="152" t="s">
        <v>348</v>
      </c>
      <c r="M301" s="149" t="s">
        <v>232</v>
      </c>
      <c r="N301" s="154"/>
      <c r="O301" s="154"/>
      <c r="P301" s="154"/>
      <c r="Q301" s="150"/>
      <c r="R301" s="154"/>
      <c r="S301" s="154"/>
      <c r="T301" s="154"/>
      <c r="U301" s="154"/>
      <c r="V301" s="154"/>
      <c r="W301" s="154"/>
      <c r="X301" s="155"/>
      <c r="Y301" s="147"/>
      <c r="Z301" s="105"/>
      <c r="AA301" s="105"/>
      <c r="AB301" s="106"/>
      <c r="AC301" s="374"/>
      <c r="AD301" s="375"/>
      <c r="AE301" s="375"/>
      <c r="AF301" s="376"/>
      <c r="AG301" s="119"/>
      <c r="AH301" s="119"/>
      <c r="AI301" s="119" t="str">
        <f>"26:jyakuninti_uke_code:" &amp; IF(I301="■",1,IF(L301="■",2,0))</f>
        <v>26:jyakuninti_uke_code:0</v>
      </c>
      <c r="AJ301" s="119"/>
    </row>
    <row r="302" spans="1:36" ht="18.75" customHeight="1" x14ac:dyDescent="0.15">
      <c r="A302" s="107"/>
      <c r="B302" s="108"/>
      <c r="C302" s="109"/>
      <c r="D302" s="110"/>
      <c r="E302" s="111"/>
      <c r="F302" s="112"/>
      <c r="G302" s="111"/>
      <c r="H302" s="230" t="s">
        <v>94</v>
      </c>
      <c r="I302" s="194" t="s">
        <v>348</v>
      </c>
      <c r="J302" s="149" t="s">
        <v>230</v>
      </c>
      <c r="K302" s="150"/>
      <c r="L302" s="151"/>
      <c r="M302" s="152" t="s">
        <v>348</v>
      </c>
      <c r="N302" s="149" t="s">
        <v>231</v>
      </c>
      <c r="O302" s="154"/>
      <c r="P302" s="154"/>
      <c r="Q302" s="150"/>
      <c r="R302" s="154"/>
      <c r="S302" s="154"/>
      <c r="T302" s="154"/>
      <c r="U302" s="154"/>
      <c r="V302" s="154"/>
      <c r="W302" s="154"/>
      <c r="X302" s="155"/>
      <c r="Y302" s="147"/>
      <c r="Z302" s="105"/>
      <c r="AA302" s="105"/>
      <c r="AB302" s="106"/>
      <c r="AC302" s="374"/>
      <c r="AD302" s="375"/>
      <c r="AE302" s="375"/>
      <c r="AF302" s="376"/>
      <c r="AG302" s="119"/>
      <c r="AH302" s="119"/>
      <c r="AI302" s="119" t="str">
        <f>"26:sougei_code:" &amp; IF(I302="■",1,IF(M302="■",2,0))</f>
        <v>26:sougei_code:0</v>
      </c>
      <c r="AJ302" s="119"/>
    </row>
    <row r="303" spans="1:36" ht="19.5" customHeight="1" x14ac:dyDescent="0.15">
      <c r="A303" s="107"/>
      <c r="B303" s="108"/>
      <c r="C303" s="109"/>
      <c r="D303" s="110"/>
      <c r="E303" s="111"/>
      <c r="F303" s="128" t="s">
        <v>348</v>
      </c>
      <c r="G303" s="111" t="s">
        <v>316</v>
      </c>
      <c r="H303" s="114" t="s">
        <v>372</v>
      </c>
      <c r="I303" s="194" t="s">
        <v>348</v>
      </c>
      <c r="J303" s="149" t="s">
        <v>216</v>
      </c>
      <c r="K303" s="149"/>
      <c r="L303" s="152" t="s">
        <v>348</v>
      </c>
      <c r="M303" s="149" t="s">
        <v>232</v>
      </c>
      <c r="N303" s="149"/>
      <c r="O303" s="154"/>
      <c r="P303" s="149"/>
      <c r="Q303" s="154"/>
      <c r="R303" s="154"/>
      <c r="S303" s="154"/>
      <c r="T303" s="154"/>
      <c r="U303" s="154"/>
      <c r="V303" s="154"/>
      <c r="W303" s="154"/>
      <c r="X303" s="155"/>
      <c r="Y303" s="105"/>
      <c r="Z303" s="105"/>
      <c r="AA303" s="105"/>
      <c r="AB303" s="106"/>
      <c r="AC303" s="374"/>
      <c r="AD303" s="375"/>
      <c r="AE303" s="375"/>
      <c r="AF303" s="376"/>
      <c r="AG303" s="119"/>
      <c r="AH303" s="119"/>
      <c r="AI303" s="119" t="str">
        <f>"26:field224:" &amp; IF(I303="■",1,IF(L303="■",2,0))</f>
        <v>26:field224:0</v>
      </c>
      <c r="AJ303" s="119"/>
    </row>
    <row r="304" spans="1:36" ht="18.75" customHeight="1" x14ac:dyDescent="0.15">
      <c r="A304" s="107"/>
      <c r="B304" s="108"/>
      <c r="C304" s="109"/>
      <c r="D304" s="110"/>
      <c r="E304" s="111"/>
      <c r="F304" s="112"/>
      <c r="G304" s="111" t="s">
        <v>317</v>
      </c>
      <c r="H304" s="230" t="s">
        <v>106</v>
      </c>
      <c r="I304" s="194" t="s">
        <v>348</v>
      </c>
      <c r="J304" s="149" t="s">
        <v>216</v>
      </c>
      <c r="K304" s="150"/>
      <c r="L304" s="152" t="s">
        <v>348</v>
      </c>
      <c r="M304" s="149" t="s">
        <v>232</v>
      </c>
      <c r="N304" s="154"/>
      <c r="O304" s="154"/>
      <c r="P304" s="154"/>
      <c r="Q304" s="150"/>
      <c r="R304" s="154"/>
      <c r="S304" s="154"/>
      <c r="T304" s="154"/>
      <c r="U304" s="154"/>
      <c r="V304" s="154"/>
      <c r="W304" s="154"/>
      <c r="X304" s="155"/>
      <c r="Y304" s="147"/>
      <c r="Z304" s="105"/>
      <c r="AA304" s="105"/>
      <c r="AB304" s="106"/>
      <c r="AC304" s="374"/>
      <c r="AD304" s="375"/>
      <c r="AE304" s="375"/>
      <c r="AF304" s="376"/>
      <c r="AG304" s="119"/>
      <c r="AH304" s="119"/>
      <c r="AI304" s="119" t="str">
        <f>"26:ryouyoushoku_code:" &amp; IF(I304="■",1,IF(L304="■",2,0))</f>
        <v>26:ryouyoushoku_code:0</v>
      </c>
      <c r="AJ304" s="119"/>
    </row>
    <row r="305" spans="1:36" ht="18.75" customHeight="1" x14ac:dyDescent="0.15">
      <c r="A305" s="128" t="s">
        <v>348</v>
      </c>
      <c r="B305" s="108">
        <v>26</v>
      </c>
      <c r="C305" s="109" t="s">
        <v>429</v>
      </c>
      <c r="D305" s="128" t="s">
        <v>348</v>
      </c>
      <c r="E305" s="111" t="s">
        <v>332</v>
      </c>
      <c r="F305" s="128" t="s">
        <v>348</v>
      </c>
      <c r="G305" s="111" t="s">
        <v>318</v>
      </c>
      <c r="H305" s="230" t="s">
        <v>165</v>
      </c>
      <c r="I305" s="194" t="s">
        <v>348</v>
      </c>
      <c r="J305" s="149" t="s">
        <v>216</v>
      </c>
      <c r="K305" s="149"/>
      <c r="L305" s="152" t="s">
        <v>348</v>
      </c>
      <c r="M305" s="149" t="s">
        <v>217</v>
      </c>
      <c r="N305" s="149"/>
      <c r="O305" s="152" t="s">
        <v>348</v>
      </c>
      <c r="P305" s="149" t="s">
        <v>218</v>
      </c>
      <c r="Q305" s="154"/>
      <c r="R305" s="154"/>
      <c r="S305" s="154"/>
      <c r="T305" s="154"/>
      <c r="U305" s="154"/>
      <c r="V305" s="154"/>
      <c r="W305" s="154"/>
      <c r="X305" s="155"/>
      <c r="Y305" s="147"/>
      <c r="Z305" s="105"/>
      <c r="AA305" s="105"/>
      <c r="AB305" s="106"/>
      <c r="AC305" s="374"/>
      <c r="AD305" s="375"/>
      <c r="AE305" s="375"/>
      <c r="AF305" s="376"/>
      <c r="AG305" s="119"/>
      <c r="AH305" s="119"/>
      <c r="AI305" s="119" t="str">
        <f>"26:ninti_senmoncare_code:" &amp; IF(I305="■",1,IF(O305="■",3,IF(L305="■",2,0)))</f>
        <v>26:ninti_senmoncare_code:0</v>
      </c>
      <c r="AJ305" s="119"/>
    </row>
    <row r="306" spans="1:36" ht="18.75" customHeight="1" x14ac:dyDescent="0.15">
      <c r="A306" s="107"/>
      <c r="B306" s="108"/>
      <c r="C306" s="109"/>
      <c r="D306" s="110"/>
      <c r="E306" s="111"/>
      <c r="F306" s="112"/>
      <c r="G306" s="111" t="s">
        <v>319</v>
      </c>
      <c r="H306" s="370" t="s">
        <v>101</v>
      </c>
      <c r="I306" s="194" t="s">
        <v>348</v>
      </c>
      <c r="J306" s="160" t="s">
        <v>285</v>
      </c>
      <c r="K306" s="160"/>
      <c r="L306" s="241"/>
      <c r="M306" s="241"/>
      <c r="N306" s="241"/>
      <c r="O306" s="241"/>
      <c r="P306" s="195" t="s">
        <v>348</v>
      </c>
      <c r="Q306" s="160" t="s">
        <v>286</v>
      </c>
      <c r="R306" s="241"/>
      <c r="S306" s="241"/>
      <c r="T306" s="241"/>
      <c r="U306" s="241"/>
      <c r="V306" s="241"/>
      <c r="W306" s="241"/>
      <c r="X306" s="242"/>
      <c r="Y306" s="147"/>
      <c r="Z306" s="105"/>
      <c r="AA306" s="105"/>
      <c r="AB306" s="106"/>
      <c r="AC306" s="374"/>
      <c r="AD306" s="375"/>
      <c r="AE306" s="375"/>
      <c r="AF306" s="376"/>
      <c r="AG306" s="119"/>
      <c r="AH306" s="119"/>
      <c r="AI306" s="119" t="str">
        <f>"26:" &amp; IF(AND(I306="□",P306="□",I307="□"),"tokusin_jyusho_code:0:tokusin_yakuzai_code:0:shuudan_comu_code:0",IF(I306="■","tokusin_jyusho_code:2","tokusin_jyusho_code:1")
&amp;IF(P306="■",":tokusin_yakuzai_code:2",":tokusin_yakuzai_code:1")
&amp;IF(I307="■",":shuudan_comu_code:2",":shuudan_comu_code:1"))</f>
        <v>26:tokusin_jyusho_code:0:tokusin_yakuzai_code:0:shuudan_comu_code:0</v>
      </c>
      <c r="AJ306" s="119"/>
    </row>
    <row r="307" spans="1:36" ht="18.75" customHeight="1" x14ac:dyDescent="0.15">
      <c r="A307" s="107"/>
      <c r="B307" s="108"/>
      <c r="C307" s="109"/>
      <c r="D307" s="110"/>
      <c r="E307" s="111"/>
      <c r="F307" s="128" t="s">
        <v>348</v>
      </c>
      <c r="G307" s="111" t="s">
        <v>320</v>
      </c>
      <c r="H307" s="371"/>
      <c r="I307" s="128" t="s">
        <v>348</v>
      </c>
      <c r="J307" s="115" t="s">
        <v>299</v>
      </c>
      <c r="K307" s="145"/>
      <c r="L307" s="145"/>
      <c r="M307" s="145"/>
      <c r="N307" s="145"/>
      <c r="O307" s="145"/>
      <c r="P307" s="145"/>
      <c r="Q307" s="144"/>
      <c r="R307" s="145"/>
      <c r="S307" s="145"/>
      <c r="T307" s="145"/>
      <c r="U307" s="145"/>
      <c r="V307" s="145"/>
      <c r="W307" s="145"/>
      <c r="X307" s="146"/>
      <c r="Y307" s="147"/>
      <c r="Z307" s="105"/>
      <c r="AA307" s="105"/>
      <c r="AB307" s="106"/>
      <c r="AC307" s="374"/>
      <c r="AD307" s="375"/>
      <c r="AE307" s="375"/>
      <c r="AF307" s="376"/>
      <c r="AG307" s="119"/>
      <c r="AH307" s="119"/>
      <c r="AI307" s="119"/>
      <c r="AJ307" s="119"/>
    </row>
    <row r="308" spans="1:36" ht="18.75" customHeight="1" x14ac:dyDescent="0.15">
      <c r="A308" s="107"/>
      <c r="B308" s="108"/>
      <c r="C308" s="109"/>
      <c r="D308" s="110"/>
      <c r="E308" s="111"/>
      <c r="F308" s="112"/>
      <c r="G308" s="111" t="s">
        <v>321</v>
      </c>
      <c r="H308" s="240" t="s">
        <v>385</v>
      </c>
      <c r="I308" s="194" t="s">
        <v>348</v>
      </c>
      <c r="J308" s="149" t="s">
        <v>216</v>
      </c>
      <c r="K308" s="149"/>
      <c r="L308" s="152" t="s">
        <v>348</v>
      </c>
      <c r="M308" s="149" t="s">
        <v>217</v>
      </c>
      <c r="N308" s="149"/>
      <c r="O308" s="152" t="s">
        <v>348</v>
      </c>
      <c r="P308" s="149" t="s">
        <v>218</v>
      </c>
      <c r="Q308" s="154"/>
      <c r="R308" s="154"/>
      <c r="S308" s="154"/>
      <c r="T308" s="154"/>
      <c r="U308" s="241"/>
      <c r="V308" s="241"/>
      <c r="W308" s="241"/>
      <c r="X308" s="242"/>
      <c r="Y308" s="147"/>
      <c r="Z308" s="105"/>
      <c r="AA308" s="105"/>
      <c r="AB308" s="106"/>
      <c r="AC308" s="374"/>
      <c r="AD308" s="375"/>
      <c r="AE308" s="375"/>
      <c r="AF308" s="376"/>
      <c r="AG308" s="119"/>
      <c r="AH308" s="119"/>
      <c r="AI308" s="119" t="str">
        <f>"26:field225:" &amp; IF(I308="■",1,IF(L308="■",2,IF(O308="■",3,0)))</f>
        <v>26:field225:0</v>
      </c>
      <c r="AJ308" s="119"/>
    </row>
    <row r="309" spans="1:36" ht="18.75" customHeight="1" x14ac:dyDescent="0.15">
      <c r="A309" s="110"/>
      <c r="B309" s="108"/>
      <c r="C309" s="109"/>
      <c r="D309" s="110"/>
      <c r="E309" s="111"/>
      <c r="F309" s="112"/>
      <c r="G309" s="111"/>
      <c r="H309" s="370" t="s">
        <v>102</v>
      </c>
      <c r="I309" s="194" t="s">
        <v>348</v>
      </c>
      <c r="J309" s="160" t="s">
        <v>300</v>
      </c>
      <c r="K309" s="168"/>
      <c r="L309" s="205"/>
      <c r="M309" s="195" t="s">
        <v>348</v>
      </c>
      <c r="N309" s="160" t="s">
        <v>301</v>
      </c>
      <c r="O309" s="241"/>
      <c r="P309" s="241"/>
      <c r="Q309" s="195" t="s">
        <v>348</v>
      </c>
      <c r="R309" s="160" t="s">
        <v>302</v>
      </c>
      <c r="S309" s="241"/>
      <c r="T309" s="241"/>
      <c r="U309" s="241"/>
      <c r="V309" s="241"/>
      <c r="W309" s="241"/>
      <c r="X309" s="242"/>
      <c r="Y309" s="147"/>
      <c r="Z309" s="105"/>
      <c r="AA309" s="105"/>
      <c r="AB309" s="106"/>
      <c r="AC309" s="374"/>
      <c r="AD309" s="375"/>
      <c r="AE309" s="375"/>
      <c r="AF309" s="376"/>
      <c r="AG309" s="119"/>
      <c r="AH309" s="119"/>
      <c r="AI309" s="119" t="str">
        <f>"26:"&amp;IF(AND(I309="□",M309="□",Q309="□",I310="□",Q310="□"),"koriha_rryoho1_code:0:koriha_sryoho_code:0:koriha_gengo_code:0:riha_seisin_code:0:koriha_other_code:0",IF(I309="■","koriha_rryoho1_code:2","koriha_rryoho1_code:1")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26:koriha_rryoho1_code:0:koriha_sryoho_code:0:koriha_gengo_code:0:riha_seisin_code:0:koriha_other_code:0</v>
      </c>
      <c r="AJ309" s="119"/>
    </row>
    <row r="310" spans="1:36" ht="18.75" customHeight="1" x14ac:dyDescent="0.15">
      <c r="A310" s="107"/>
      <c r="B310" s="108"/>
      <c r="C310" s="109"/>
      <c r="D310" s="110"/>
      <c r="E310" s="111"/>
      <c r="F310" s="112"/>
      <c r="G310" s="111"/>
      <c r="H310" s="371"/>
      <c r="I310" s="128" t="s">
        <v>348</v>
      </c>
      <c r="J310" s="115" t="s">
        <v>303</v>
      </c>
      <c r="K310" s="145"/>
      <c r="L310" s="145"/>
      <c r="M310" s="145"/>
      <c r="N310" s="145"/>
      <c r="O310" s="145"/>
      <c r="P310" s="145"/>
      <c r="Q310" s="191" t="s">
        <v>348</v>
      </c>
      <c r="R310" s="115" t="s">
        <v>304</v>
      </c>
      <c r="S310" s="144"/>
      <c r="T310" s="145"/>
      <c r="U310" s="145"/>
      <c r="V310" s="145"/>
      <c r="W310" s="145"/>
      <c r="X310" s="146"/>
      <c r="Y310" s="147"/>
      <c r="Z310" s="105"/>
      <c r="AA310" s="105"/>
      <c r="AB310" s="106"/>
      <c r="AC310" s="374"/>
      <c r="AD310" s="375"/>
      <c r="AE310" s="375"/>
      <c r="AF310" s="376"/>
      <c r="AG310" s="119"/>
      <c r="AH310" s="119"/>
      <c r="AI310" s="119"/>
      <c r="AJ310" s="119"/>
    </row>
    <row r="311" spans="1:36" ht="18.75" customHeight="1" x14ac:dyDescent="0.15">
      <c r="A311" s="107"/>
      <c r="B311" s="108"/>
      <c r="C311" s="109"/>
      <c r="D311" s="110"/>
      <c r="E311" s="111"/>
      <c r="F311" s="112"/>
      <c r="G311" s="111"/>
      <c r="H311" s="230" t="s">
        <v>111</v>
      </c>
      <c r="I311" s="194" t="s">
        <v>348</v>
      </c>
      <c r="J311" s="149" t="s">
        <v>216</v>
      </c>
      <c r="K311" s="149"/>
      <c r="L311" s="152" t="s">
        <v>348</v>
      </c>
      <c r="M311" s="149" t="s">
        <v>224</v>
      </c>
      <c r="N311" s="149"/>
      <c r="O311" s="152" t="s">
        <v>348</v>
      </c>
      <c r="P311" s="149" t="s">
        <v>225</v>
      </c>
      <c r="Q311" s="196"/>
      <c r="R311" s="152" t="s">
        <v>348</v>
      </c>
      <c r="S311" s="149" t="s">
        <v>248</v>
      </c>
      <c r="T311" s="196"/>
      <c r="U311" s="196"/>
      <c r="V311" s="196"/>
      <c r="W311" s="196"/>
      <c r="X311" s="197"/>
      <c r="Y311" s="147"/>
      <c r="Z311" s="105"/>
      <c r="AA311" s="105"/>
      <c r="AB311" s="106"/>
      <c r="AC311" s="374"/>
      <c r="AD311" s="375"/>
      <c r="AE311" s="375"/>
      <c r="AF311" s="376"/>
      <c r="AG311" s="119"/>
      <c r="AH311" s="119"/>
      <c r="AI311" s="119" t="str">
        <f>"26:serteikyo_kyoka_code:" &amp; IF(I311="■",1,IF(L311="■",6,IF(O311="■",5,IF(R311="■",7,0))))</f>
        <v>26:serteikyo_kyoka_code:0</v>
      </c>
      <c r="AJ311" s="119"/>
    </row>
    <row r="312" spans="1:36" ht="18.75" customHeight="1" x14ac:dyDescent="0.15">
      <c r="A312" s="110"/>
      <c r="B312" s="108"/>
      <c r="C312" s="109"/>
      <c r="D312" s="110"/>
      <c r="E312" s="111"/>
      <c r="F312" s="112"/>
      <c r="G312" s="111"/>
      <c r="H312" s="329" t="s">
        <v>409</v>
      </c>
      <c r="I312" s="360" t="s">
        <v>348</v>
      </c>
      <c r="J312" s="359" t="s">
        <v>216</v>
      </c>
      <c r="K312" s="359"/>
      <c r="L312" s="360" t="s">
        <v>348</v>
      </c>
      <c r="M312" s="359" t="s">
        <v>232</v>
      </c>
      <c r="N312" s="359"/>
      <c r="O312" s="198"/>
      <c r="P312" s="198"/>
      <c r="Q312" s="198"/>
      <c r="R312" s="198"/>
      <c r="S312" s="198"/>
      <c r="T312" s="198"/>
      <c r="U312" s="198"/>
      <c r="V312" s="198"/>
      <c r="W312" s="198"/>
      <c r="X312" s="199"/>
      <c r="Y312" s="147"/>
      <c r="Z312" s="105"/>
      <c r="AA312" s="105"/>
      <c r="AB312" s="106"/>
      <c r="AC312" s="374"/>
      <c r="AD312" s="375"/>
      <c r="AE312" s="375"/>
      <c r="AF312" s="376"/>
      <c r="AG312" s="119"/>
      <c r="AH312" s="119"/>
      <c r="AI312" s="119" t="str">
        <f>"26:field221:" &amp; IF(I312="■",1,IF(L312="■",2,0))</f>
        <v>26:field221:0</v>
      </c>
      <c r="AJ312" s="119"/>
    </row>
    <row r="313" spans="1:36" ht="18.75" customHeight="1" x14ac:dyDescent="0.15">
      <c r="A313" s="107"/>
      <c r="B313" s="108"/>
      <c r="C313" s="109"/>
      <c r="D313" s="110"/>
      <c r="E313" s="111"/>
      <c r="F313" s="112"/>
      <c r="G313" s="111"/>
      <c r="H313" s="328"/>
      <c r="I313" s="360"/>
      <c r="J313" s="359"/>
      <c r="K313" s="359"/>
      <c r="L313" s="360"/>
      <c r="M313" s="359"/>
      <c r="N313" s="359"/>
      <c r="O313" s="144"/>
      <c r="P313" s="144"/>
      <c r="Q313" s="144"/>
      <c r="R313" s="144"/>
      <c r="S313" s="144"/>
      <c r="T313" s="144"/>
      <c r="U313" s="144"/>
      <c r="V313" s="144"/>
      <c r="W313" s="144"/>
      <c r="X313" s="226"/>
      <c r="Y313" s="147"/>
      <c r="Z313" s="105"/>
      <c r="AA313" s="105"/>
      <c r="AB313" s="106"/>
      <c r="AC313" s="374"/>
      <c r="AD313" s="375"/>
      <c r="AE313" s="375"/>
      <c r="AF313" s="376"/>
    </row>
    <row r="314" spans="1:36" ht="18.75" customHeight="1" x14ac:dyDescent="0.15">
      <c r="A314" s="170"/>
      <c r="B314" s="171"/>
      <c r="C314" s="172"/>
      <c r="D314" s="173"/>
      <c r="E314" s="174"/>
      <c r="F314" s="175"/>
      <c r="G314" s="176"/>
      <c r="H314" s="95" t="s">
        <v>405</v>
      </c>
      <c r="I314" s="177" t="s">
        <v>348</v>
      </c>
      <c r="J314" s="96" t="s">
        <v>216</v>
      </c>
      <c r="K314" s="96"/>
      <c r="L314" s="178" t="s">
        <v>348</v>
      </c>
      <c r="M314" s="96" t="s">
        <v>373</v>
      </c>
      <c r="N314" s="97"/>
      <c r="O314" s="178" t="s">
        <v>348</v>
      </c>
      <c r="P314" s="99" t="s">
        <v>374</v>
      </c>
      <c r="Q314" s="98"/>
      <c r="R314" s="178" t="s">
        <v>348</v>
      </c>
      <c r="S314" s="96" t="s">
        <v>375</v>
      </c>
      <c r="T314" s="98"/>
      <c r="U314" s="178" t="s">
        <v>348</v>
      </c>
      <c r="V314" s="96" t="s">
        <v>376</v>
      </c>
      <c r="W314" s="100"/>
      <c r="X314" s="101"/>
      <c r="Y314" s="179"/>
      <c r="Z314" s="179"/>
      <c r="AA314" s="179"/>
      <c r="AB314" s="180"/>
      <c r="AC314" s="377"/>
      <c r="AD314" s="378"/>
      <c r="AE314" s="378"/>
      <c r="AF314" s="379"/>
      <c r="AG314" s="119"/>
      <c r="AH314" s="119"/>
      <c r="AI314" s="119" t="str">
        <f>"26:shoguukaizen_code:"&amp;IF(I314="■",1,IF(L314="■",7,IF(O314="■",8,IF(R314="■",9,IF(U314="■","A",0)))))</f>
        <v>26:shoguukaizen_code:0</v>
      </c>
    </row>
    <row r="315" spans="1:36" ht="18.75" customHeight="1" x14ac:dyDescent="0.15">
      <c r="A315" s="130"/>
      <c r="B315" s="131"/>
      <c r="C315" s="132"/>
      <c r="D315" s="133"/>
      <c r="E315" s="135"/>
      <c r="F315" s="133"/>
      <c r="G315" s="126"/>
      <c r="H315" s="340" t="s">
        <v>163</v>
      </c>
      <c r="I315" s="140" t="s">
        <v>348</v>
      </c>
      <c r="J315" s="124" t="s">
        <v>265</v>
      </c>
      <c r="K315" s="137"/>
      <c r="L315" s="231"/>
      <c r="M315" s="136" t="s">
        <v>348</v>
      </c>
      <c r="N315" s="124" t="s">
        <v>293</v>
      </c>
      <c r="O315" s="232"/>
      <c r="P315" s="232"/>
      <c r="Q315" s="136" t="s">
        <v>348</v>
      </c>
      <c r="R315" s="124" t="s">
        <v>294</v>
      </c>
      <c r="S315" s="232"/>
      <c r="T315" s="232"/>
      <c r="U315" s="136" t="s">
        <v>348</v>
      </c>
      <c r="V315" s="124" t="s">
        <v>295</v>
      </c>
      <c r="W315" s="232"/>
      <c r="X315" s="213"/>
      <c r="Y315" s="140" t="s">
        <v>348</v>
      </c>
      <c r="Z315" s="124" t="s">
        <v>215</v>
      </c>
      <c r="AA315" s="124"/>
      <c r="AB315" s="139"/>
      <c r="AC315" s="311"/>
      <c r="AD315" s="312"/>
      <c r="AE315" s="312"/>
      <c r="AF315" s="313"/>
      <c r="AG315" s="119" t="str">
        <f>"ser_code = '" &amp; IF(A326="■","2B","") &amp; "'"</f>
        <v>ser_code = ''</v>
      </c>
      <c r="AH315" s="119" t="str">
        <f>"2B:jininkbn_code:"&amp;IF(F325="■",1,IF(F326="■",2,IF(F327="■",3,0)))</f>
        <v>2B:jininkbn_code:0</v>
      </c>
      <c r="AI315" s="119" t="str">
        <f>"2B:yakan_kinmu_code:" &amp; IF(I315="■",1,IF(M315="■",2,IF(Q315="■",3,IF(U315="■",7,IF(I316="■",5,IF(M316="■",6,0))))))</f>
        <v>2B:yakan_kinmu_code:0</v>
      </c>
      <c r="AJ315" s="119" t="str">
        <f>"2B:field203:" &amp; IF(Y315="■",1,IF(Y316="■",2,0))</f>
        <v>2B:field203:0</v>
      </c>
    </row>
    <row r="316" spans="1:36" ht="18.75" customHeight="1" x14ac:dyDescent="0.15">
      <c r="A316" s="107"/>
      <c r="B316" s="108"/>
      <c r="C316" s="109"/>
      <c r="D316" s="110"/>
      <c r="E316" s="113"/>
      <c r="F316" s="110"/>
      <c r="G316" s="111"/>
      <c r="H316" s="371"/>
      <c r="I316" s="128" t="s">
        <v>348</v>
      </c>
      <c r="J316" s="115" t="s">
        <v>296</v>
      </c>
      <c r="K316" s="166"/>
      <c r="L316" s="116"/>
      <c r="M316" s="191" t="s">
        <v>348</v>
      </c>
      <c r="N316" s="115" t="s">
        <v>266</v>
      </c>
      <c r="O316" s="144"/>
      <c r="P316" s="144"/>
      <c r="Q316" s="144"/>
      <c r="R316" s="144"/>
      <c r="S316" s="144"/>
      <c r="T316" s="144"/>
      <c r="U316" s="144"/>
      <c r="V316" s="144"/>
      <c r="W316" s="144"/>
      <c r="X316" s="226"/>
      <c r="Y316" s="123" t="s">
        <v>348</v>
      </c>
      <c r="Z316" s="104" t="s">
        <v>221</v>
      </c>
      <c r="AA316" s="105"/>
      <c r="AB316" s="106"/>
      <c r="AC316" s="314"/>
      <c r="AD316" s="315"/>
      <c r="AE316" s="315"/>
      <c r="AF316" s="316"/>
      <c r="AG316" s="119" t="str">
        <f>"2B:sisetukbn_code:"&amp;IF(D326="■","1",0)</f>
        <v>2B:sisetukbn_code:0</v>
      </c>
      <c r="AH316" s="119"/>
      <c r="AI316" s="119"/>
      <c r="AJ316" s="119"/>
    </row>
    <row r="317" spans="1:36" ht="18.75" customHeight="1" x14ac:dyDescent="0.15">
      <c r="A317" s="107"/>
      <c r="B317" s="108"/>
      <c r="C317" s="109"/>
      <c r="D317" s="110"/>
      <c r="E317" s="113"/>
      <c r="F317" s="110"/>
      <c r="G317" s="111"/>
      <c r="H317" s="370" t="s">
        <v>92</v>
      </c>
      <c r="I317" s="194" t="s">
        <v>348</v>
      </c>
      <c r="J317" s="160" t="s">
        <v>216</v>
      </c>
      <c r="K317" s="160"/>
      <c r="L317" s="205"/>
      <c r="M317" s="195" t="s">
        <v>348</v>
      </c>
      <c r="N317" s="160" t="s">
        <v>254</v>
      </c>
      <c r="O317" s="160"/>
      <c r="P317" s="205"/>
      <c r="Q317" s="195" t="s">
        <v>348</v>
      </c>
      <c r="R317" s="198" t="s">
        <v>337</v>
      </c>
      <c r="S317" s="198"/>
      <c r="T317" s="198"/>
      <c r="U317" s="241"/>
      <c r="V317" s="205"/>
      <c r="W317" s="198"/>
      <c r="X317" s="242"/>
      <c r="Y317" s="147"/>
      <c r="Z317" s="105"/>
      <c r="AA317" s="105"/>
      <c r="AB317" s="106"/>
      <c r="AC317" s="314"/>
      <c r="AD317" s="315"/>
      <c r="AE317" s="315"/>
      <c r="AF317" s="316"/>
      <c r="AG317" s="119"/>
      <c r="AH317" s="119"/>
      <c r="AI317" s="119" t="str">
        <f>"2B:"&amp;IF(AND(I317="□",M317="□",Q317="□",I318="□",M318="□"),"ketu_doctor_code:0",IF(I317="■","ketu_doctor_code:1:field197:1:ketu_kangos_code:1:ketu_kshoku_code:1",IF(M317="■","ketu_doctor_code:2","ketu_doctor_code:1")
&amp;IF(Q317="■",":field197:2",":field197:1")
&amp;IF(I318="■",":ketu_kangos_code:2",":ketu_kangos_code:1")
&amp;IF(M318="■",":ketu_kshoku_code:2",":ketu_kshoku_code:1")))</f>
        <v>2B:ketu_doctor_code:0</v>
      </c>
      <c r="AJ317" s="119"/>
    </row>
    <row r="318" spans="1:36" ht="18.75" customHeight="1" x14ac:dyDescent="0.15">
      <c r="A318" s="107"/>
      <c r="B318" s="108"/>
      <c r="C318" s="109"/>
      <c r="D318" s="110"/>
      <c r="E318" s="113"/>
      <c r="F318" s="110"/>
      <c r="G318" s="111"/>
      <c r="H318" s="371"/>
      <c r="I318" s="128" t="s">
        <v>348</v>
      </c>
      <c r="J318" s="144" t="s">
        <v>338</v>
      </c>
      <c r="K318" s="144"/>
      <c r="L318" s="144"/>
      <c r="M318" s="191" t="s">
        <v>348</v>
      </c>
      <c r="N318" s="144" t="s">
        <v>339</v>
      </c>
      <c r="O318" s="116"/>
      <c r="P318" s="144"/>
      <c r="Q318" s="144"/>
      <c r="R318" s="116"/>
      <c r="S318" s="144"/>
      <c r="T318" s="144"/>
      <c r="U318" s="145"/>
      <c r="V318" s="116"/>
      <c r="W318" s="144"/>
      <c r="X318" s="146"/>
      <c r="Y318" s="147"/>
      <c r="Z318" s="105"/>
      <c r="AA318" s="105"/>
      <c r="AB318" s="106"/>
      <c r="AC318" s="314"/>
      <c r="AD318" s="315"/>
      <c r="AE318" s="315"/>
      <c r="AF318" s="316"/>
    </row>
    <row r="319" spans="1:36" s="119" customFormat="1" ht="18.75" customHeight="1" x14ac:dyDescent="0.15">
      <c r="A319" s="107"/>
      <c r="B319" s="108"/>
      <c r="C319" s="238"/>
      <c r="D319" s="239"/>
      <c r="E319" s="111"/>
      <c r="F319" s="112"/>
      <c r="G319" s="113"/>
      <c r="H319" s="230" t="s">
        <v>103</v>
      </c>
      <c r="I319" s="148" t="s">
        <v>348</v>
      </c>
      <c r="J319" s="149" t="s">
        <v>360</v>
      </c>
      <c r="K319" s="150"/>
      <c r="L319" s="151"/>
      <c r="M319" s="152" t="s">
        <v>348</v>
      </c>
      <c r="N319" s="149" t="s">
        <v>361</v>
      </c>
      <c r="O319" s="150"/>
      <c r="P319" s="150"/>
      <c r="Q319" s="150"/>
      <c r="R319" s="150"/>
      <c r="S319" s="150"/>
      <c r="T319" s="150"/>
      <c r="U319" s="150"/>
      <c r="V319" s="150"/>
      <c r="W319" s="150"/>
      <c r="X319" s="159"/>
      <c r="Y319" s="147"/>
      <c r="Z319" s="105"/>
      <c r="AA319" s="105"/>
      <c r="AB319" s="106"/>
      <c r="AC319" s="314"/>
      <c r="AD319" s="315"/>
      <c r="AE319" s="315"/>
      <c r="AF319" s="316"/>
      <c r="AI319" s="119" t="str">
        <f>"2B:sintaikousoku_code:" &amp; IF(I319="■",1,IF(M319="■",2,0))</f>
        <v>2B:sintaikousoku_code:0</v>
      </c>
    </row>
    <row r="320" spans="1:36" ht="19.5" customHeight="1" x14ac:dyDescent="0.15">
      <c r="A320" s="107"/>
      <c r="B320" s="108"/>
      <c r="C320" s="109"/>
      <c r="D320" s="110"/>
      <c r="E320" s="111"/>
      <c r="F320" s="112"/>
      <c r="G320" s="113"/>
      <c r="H320" s="114" t="s">
        <v>369</v>
      </c>
      <c r="I320" s="194" t="s">
        <v>348</v>
      </c>
      <c r="J320" s="149" t="s">
        <v>360</v>
      </c>
      <c r="K320" s="150"/>
      <c r="L320" s="151"/>
      <c r="M320" s="152" t="s">
        <v>348</v>
      </c>
      <c r="N320" s="149" t="s">
        <v>370</v>
      </c>
      <c r="O320" s="149"/>
      <c r="P320" s="149"/>
      <c r="Q320" s="154"/>
      <c r="R320" s="154"/>
      <c r="S320" s="154"/>
      <c r="T320" s="154"/>
      <c r="U320" s="154"/>
      <c r="V320" s="154"/>
      <c r="W320" s="154"/>
      <c r="X320" s="155"/>
      <c r="Y320" s="105"/>
      <c r="Z320" s="105"/>
      <c r="AA320" s="105"/>
      <c r="AB320" s="106"/>
      <c r="AC320" s="314"/>
      <c r="AD320" s="315"/>
      <c r="AE320" s="315"/>
      <c r="AF320" s="316"/>
      <c r="AI320" s="119" t="str">
        <f>"2B:field223:" &amp; IF(I320="■",1,IF(M320="■",2,0))</f>
        <v>2B:field223:0</v>
      </c>
    </row>
    <row r="321" spans="1:35" ht="19.5" customHeight="1" x14ac:dyDescent="0.15">
      <c r="A321" s="107"/>
      <c r="B321" s="108"/>
      <c r="C321" s="109"/>
      <c r="D321" s="110"/>
      <c r="E321" s="111"/>
      <c r="F321" s="112"/>
      <c r="G321" s="113"/>
      <c r="H321" s="114" t="s">
        <v>390</v>
      </c>
      <c r="I321" s="194" t="s">
        <v>348</v>
      </c>
      <c r="J321" s="149" t="s">
        <v>360</v>
      </c>
      <c r="K321" s="150"/>
      <c r="L321" s="151"/>
      <c r="M321" s="152" t="s">
        <v>348</v>
      </c>
      <c r="N321" s="149" t="s">
        <v>370</v>
      </c>
      <c r="O321" s="149"/>
      <c r="P321" s="149"/>
      <c r="Q321" s="154"/>
      <c r="R321" s="154"/>
      <c r="S321" s="154"/>
      <c r="T321" s="154"/>
      <c r="U321" s="154"/>
      <c r="V321" s="154"/>
      <c r="W321" s="154"/>
      <c r="X321" s="155"/>
      <c r="Y321" s="105"/>
      <c r="Z321" s="105"/>
      <c r="AA321" s="105"/>
      <c r="AB321" s="106"/>
      <c r="AC321" s="314"/>
      <c r="AD321" s="315"/>
      <c r="AE321" s="315"/>
      <c r="AF321" s="316"/>
      <c r="AI321" s="119" t="str">
        <f>"2B:field232:" &amp; IF(I321="■",1,IF(M321="■",2,0))</f>
        <v>2B:field232:0</v>
      </c>
    </row>
    <row r="322" spans="1:35" ht="18.75" customHeight="1" x14ac:dyDescent="0.15">
      <c r="A322" s="107"/>
      <c r="B322" s="108"/>
      <c r="C322" s="109"/>
      <c r="D322" s="110"/>
      <c r="E322" s="113"/>
      <c r="F322" s="110"/>
      <c r="G322" s="111"/>
      <c r="H322" s="230" t="s">
        <v>149</v>
      </c>
      <c r="I322" s="194" t="s">
        <v>348</v>
      </c>
      <c r="J322" s="149" t="s">
        <v>265</v>
      </c>
      <c r="K322" s="150"/>
      <c r="L322" s="151"/>
      <c r="M322" s="152" t="s">
        <v>348</v>
      </c>
      <c r="N322" s="149" t="s">
        <v>297</v>
      </c>
      <c r="O322" s="154"/>
      <c r="P322" s="154"/>
      <c r="Q322" s="154"/>
      <c r="R322" s="154"/>
      <c r="S322" s="154"/>
      <c r="T322" s="154"/>
      <c r="U322" s="154"/>
      <c r="V322" s="154"/>
      <c r="W322" s="154"/>
      <c r="X322" s="155"/>
      <c r="Y322" s="147"/>
      <c r="Z322" s="105"/>
      <c r="AA322" s="105"/>
      <c r="AB322" s="106"/>
      <c r="AC322" s="314"/>
      <c r="AD322" s="315"/>
      <c r="AE322" s="315"/>
      <c r="AF322" s="316"/>
      <c r="AI322" s="119" t="str">
        <f>"2B:field190:" &amp; IF(I322="■",1,IF(M322="■",2,0))</f>
        <v>2B:field190:0</v>
      </c>
    </row>
    <row r="323" spans="1:35" ht="18.75" customHeight="1" x14ac:dyDescent="0.15">
      <c r="A323" s="107"/>
      <c r="B323" s="108"/>
      <c r="C323" s="109"/>
      <c r="D323" s="110"/>
      <c r="E323" s="113"/>
      <c r="F323" s="110"/>
      <c r="G323" s="111"/>
      <c r="H323" s="230" t="s">
        <v>150</v>
      </c>
      <c r="I323" s="194" t="s">
        <v>348</v>
      </c>
      <c r="J323" s="149" t="s">
        <v>265</v>
      </c>
      <c r="K323" s="150"/>
      <c r="L323" s="151"/>
      <c r="M323" s="152" t="s">
        <v>348</v>
      </c>
      <c r="N323" s="149" t="s">
        <v>297</v>
      </c>
      <c r="O323" s="154"/>
      <c r="P323" s="154"/>
      <c r="Q323" s="154"/>
      <c r="R323" s="154"/>
      <c r="S323" s="154"/>
      <c r="T323" s="154"/>
      <c r="U323" s="154"/>
      <c r="V323" s="154"/>
      <c r="W323" s="154"/>
      <c r="X323" s="155"/>
      <c r="Y323" s="147"/>
      <c r="Z323" s="105"/>
      <c r="AA323" s="105"/>
      <c r="AB323" s="106"/>
      <c r="AC323" s="314"/>
      <c r="AD323" s="315"/>
      <c r="AE323" s="315"/>
      <c r="AF323" s="316"/>
      <c r="AI323" s="119" t="str">
        <f>"2B:field191:" &amp; IF(I323="■",1,IF(M323="■",2,0))</f>
        <v>2B:field191:0</v>
      </c>
    </row>
    <row r="324" spans="1:35" ht="18.75" customHeight="1" x14ac:dyDescent="0.15">
      <c r="A324" s="107"/>
      <c r="B324" s="108"/>
      <c r="C324" s="109"/>
      <c r="D324" s="110"/>
      <c r="E324" s="113"/>
      <c r="F324" s="110"/>
      <c r="G324" s="111"/>
      <c r="H324" s="230" t="s">
        <v>424</v>
      </c>
      <c r="I324" s="194" t="s">
        <v>348</v>
      </c>
      <c r="J324" s="149" t="s">
        <v>216</v>
      </c>
      <c r="K324" s="150"/>
      <c r="L324" s="152" t="s">
        <v>348</v>
      </c>
      <c r="M324" s="149" t="s">
        <v>232</v>
      </c>
      <c r="N324" s="154"/>
      <c r="O324" s="154"/>
      <c r="P324" s="154"/>
      <c r="Q324" s="150"/>
      <c r="R324" s="154"/>
      <c r="S324" s="154"/>
      <c r="T324" s="154"/>
      <c r="U324" s="154"/>
      <c r="V324" s="154"/>
      <c r="W324" s="154"/>
      <c r="X324" s="155"/>
      <c r="Y324" s="147"/>
      <c r="Z324" s="105"/>
      <c r="AA324" s="105"/>
      <c r="AB324" s="106"/>
      <c r="AC324" s="314"/>
      <c r="AD324" s="315"/>
      <c r="AE324" s="315"/>
      <c r="AF324" s="316"/>
      <c r="AI324" s="119" t="str">
        <f>"2B:jyakuninti_uke_code:" &amp; IF(I324="■",1,IF(L324="■",2,0))</f>
        <v>2B:jyakuninti_uke_code:0</v>
      </c>
    </row>
    <row r="325" spans="1:35" ht="18.75" customHeight="1" x14ac:dyDescent="0.15">
      <c r="A325" s="107"/>
      <c r="B325" s="108"/>
      <c r="C325" s="109"/>
      <c r="D325" s="110"/>
      <c r="E325" s="113"/>
      <c r="F325" s="128" t="s">
        <v>348</v>
      </c>
      <c r="G325" s="111" t="s">
        <v>435</v>
      </c>
      <c r="H325" s="230" t="s">
        <v>94</v>
      </c>
      <c r="I325" s="194" t="s">
        <v>348</v>
      </c>
      <c r="J325" s="149" t="s">
        <v>230</v>
      </c>
      <c r="K325" s="150"/>
      <c r="L325" s="151"/>
      <c r="M325" s="152" t="s">
        <v>348</v>
      </c>
      <c r="N325" s="149" t="s">
        <v>231</v>
      </c>
      <c r="O325" s="154"/>
      <c r="P325" s="154"/>
      <c r="Q325" s="150"/>
      <c r="R325" s="154"/>
      <c r="S325" s="154"/>
      <c r="T325" s="154"/>
      <c r="U325" s="154"/>
      <c r="V325" s="154"/>
      <c r="W325" s="154"/>
      <c r="X325" s="155"/>
      <c r="Y325" s="147"/>
      <c r="Z325" s="105"/>
      <c r="AA325" s="105"/>
      <c r="AB325" s="106"/>
      <c r="AC325" s="314"/>
      <c r="AD325" s="315"/>
      <c r="AE325" s="315"/>
      <c r="AF325" s="316"/>
      <c r="AI325" s="119" t="str">
        <f>"2B:sougei_code:" &amp; IF(I325="■",1,IF(M325="■",2,0))</f>
        <v>2B:sougei_code:0</v>
      </c>
    </row>
    <row r="326" spans="1:35" ht="19.5" customHeight="1" x14ac:dyDescent="0.15">
      <c r="A326" s="128" t="s">
        <v>348</v>
      </c>
      <c r="B326" s="108" t="s">
        <v>436</v>
      </c>
      <c r="C326" s="109" t="s">
        <v>427</v>
      </c>
      <c r="D326" s="128" t="s">
        <v>348</v>
      </c>
      <c r="E326" s="113" t="s">
        <v>437</v>
      </c>
      <c r="F326" s="128" t="s">
        <v>348</v>
      </c>
      <c r="G326" s="111" t="s">
        <v>334</v>
      </c>
      <c r="H326" s="114" t="s">
        <v>372</v>
      </c>
      <c r="I326" s="194" t="s">
        <v>348</v>
      </c>
      <c r="J326" s="149" t="s">
        <v>216</v>
      </c>
      <c r="K326" s="149"/>
      <c r="L326" s="152" t="s">
        <v>348</v>
      </c>
      <c r="M326" s="149" t="s">
        <v>232</v>
      </c>
      <c r="N326" s="149"/>
      <c r="O326" s="154"/>
      <c r="P326" s="149"/>
      <c r="Q326" s="154"/>
      <c r="R326" s="154"/>
      <c r="S326" s="154"/>
      <c r="T326" s="154"/>
      <c r="U326" s="154"/>
      <c r="V326" s="154"/>
      <c r="W326" s="154"/>
      <c r="X326" s="155"/>
      <c r="Y326" s="105"/>
      <c r="Z326" s="105"/>
      <c r="AA326" s="105"/>
      <c r="AB326" s="106"/>
      <c r="AC326" s="314"/>
      <c r="AD326" s="315"/>
      <c r="AE326" s="315"/>
      <c r="AF326" s="316"/>
      <c r="AI326" s="119" t="str">
        <f>"2B:field224:" &amp; IF(I326="■",1,IF(L326="■",2,0))</f>
        <v>2B:field224:0</v>
      </c>
    </row>
    <row r="327" spans="1:35" ht="18.75" customHeight="1" x14ac:dyDescent="0.15">
      <c r="A327" s="107"/>
      <c r="B327" s="108"/>
      <c r="C327" s="109"/>
      <c r="D327" s="110"/>
      <c r="E327" s="113"/>
      <c r="F327" s="128" t="s">
        <v>348</v>
      </c>
      <c r="G327" s="111" t="s">
        <v>335</v>
      </c>
      <c r="H327" s="230" t="s">
        <v>106</v>
      </c>
      <c r="I327" s="194" t="s">
        <v>348</v>
      </c>
      <c r="J327" s="149" t="s">
        <v>216</v>
      </c>
      <c r="K327" s="150"/>
      <c r="L327" s="152" t="s">
        <v>348</v>
      </c>
      <c r="M327" s="149" t="s">
        <v>232</v>
      </c>
      <c r="N327" s="154"/>
      <c r="O327" s="154"/>
      <c r="P327" s="154"/>
      <c r="Q327" s="150"/>
      <c r="R327" s="154"/>
      <c r="S327" s="154"/>
      <c r="T327" s="154"/>
      <c r="U327" s="154"/>
      <c r="V327" s="154"/>
      <c r="W327" s="154"/>
      <c r="X327" s="155"/>
      <c r="Y327" s="147"/>
      <c r="Z327" s="105"/>
      <c r="AA327" s="105"/>
      <c r="AB327" s="106"/>
      <c r="AC327" s="314"/>
      <c r="AD327" s="315"/>
      <c r="AE327" s="315"/>
      <c r="AF327" s="316"/>
      <c r="AI327" s="119" t="str">
        <f>"2B:ryouyoushoku_code:" &amp; IF(I327="■",1,IF(L327="■",2,0))</f>
        <v>2B:ryouyoushoku_code:0</v>
      </c>
    </row>
    <row r="328" spans="1:35" ht="18.75" customHeight="1" x14ac:dyDescent="0.15">
      <c r="A328" s="107"/>
      <c r="B328" s="108"/>
      <c r="C328" s="109"/>
      <c r="D328" s="110"/>
      <c r="E328" s="113"/>
      <c r="F328" s="110"/>
      <c r="G328" s="111"/>
      <c r="H328" s="230" t="s">
        <v>109</v>
      </c>
      <c r="I328" s="194" t="s">
        <v>348</v>
      </c>
      <c r="J328" s="149" t="s">
        <v>216</v>
      </c>
      <c r="K328" s="149"/>
      <c r="L328" s="152" t="s">
        <v>348</v>
      </c>
      <c r="M328" s="149" t="s">
        <v>217</v>
      </c>
      <c r="N328" s="149"/>
      <c r="O328" s="152" t="s">
        <v>348</v>
      </c>
      <c r="P328" s="149" t="s">
        <v>218</v>
      </c>
      <c r="Q328" s="154"/>
      <c r="R328" s="154"/>
      <c r="S328" s="154"/>
      <c r="T328" s="154"/>
      <c r="U328" s="154"/>
      <c r="V328" s="154"/>
      <c r="W328" s="154"/>
      <c r="X328" s="155"/>
      <c r="Y328" s="147"/>
      <c r="Z328" s="105"/>
      <c r="AA328" s="105"/>
      <c r="AB328" s="106"/>
      <c r="AC328" s="314"/>
      <c r="AD328" s="315"/>
      <c r="AE328" s="315"/>
      <c r="AF328" s="316"/>
      <c r="AI328" s="119" t="str">
        <f>"2B:ninti_senmoncare_code:" &amp; IF(I328="■",1,IF(O328="■",3,IF(L328="■",2,0)))</f>
        <v>2B:ninti_senmoncare_code:0</v>
      </c>
    </row>
    <row r="329" spans="1:35" ht="18.75" customHeight="1" x14ac:dyDescent="0.15">
      <c r="A329" s="107"/>
      <c r="B329" s="108"/>
      <c r="C329" s="109"/>
      <c r="D329" s="110"/>
      <c r="E329" s="113"/>
      <c r="F329" s="110"/>
      <c r="G329" s="111"/>
      <c r="H329" s="370" t="s">
        <v>136</v>
      </c>
      <c r="I329" s="194" t="s">
        <v>348</v>
      </c>
      <c r="J329" s="160" t="s">
        <v>285</v>
      </c>
      <c r="K329" s="160"/>
      <c r="L329" s="241"/>
      <c r="M329" s="241"/>
      <c r="N329" s="241"/>
      <c r="O329" s="241"/>
      <c r="P329" s="195" t="s">
        <v>348</v>
      </c>
      <c r="Q329" s="160" t="s">
        <v>286</v>
      </c>
      <c r="R329" s="241"/>
      <c r="S329" s="241"/>
      <c r="T329" s="241"/>
      <c r="U329" s="241"/>
      <c r="V329" s="241"/>
      <c r="W329" s="241"/>
      <c r="X329" s="242"/>
      <c r="Y329" s="147"/>
      <c r="Z329" s="105"/>
      <c r="AA329" s="105"/>
      <c r="AB329" s="106"/>
      <c r="AC329" s="314"/>
      <c r="AD329" s="315"/>
      <c r="AE329" s="315"/>
      <c r="AF329" s="316"/>
      <c r="AI329" s="119" t="str">
        <f>"2B:" &amp; IF(AND(I329="□",P329="□",I330="□"),"tokusin_jyusho_code:0:tokusin_yakuzai_code:0:shuudan_comu_code:0",IF(I329="■","tokusin_jyusho_code:2","tokusin_jyusho_code:1")
&amp;IF(P329="■",":tokusin_yakuzai_code:2",":tokusin_yakuzai_code:1")
&amp;IF(I330="■",":shuudan_comu_code:2",":shuudan_comu_code:1"))</f>
        <v>2B:tokusin_jyusho_code:0:tokusin_yakuzai_code:0:shuudan_comu_code:0</v>
      </c>
    </row>
    <row r="330" spans="1:35" ht="18.75" customHeight="1" x14ac:dyDescent="0.15">
      <c r="A330" s="107"/>
      <c r="B330" s="108"/>
      <c r="C330" s="109"/>
      <c r="D330" s="110"/>
      <c r="E330" s="113"/>
      <c r="F330" s="110"/>
      <c r="G330" s="111"/>
      <c r="H330" s="371"/>
      <c r="I330" s="128" t="s">
        <v>348</v>
      </c>
      <c r="J330" s="115" t="s">
        <v>299</v>
      </c>
      <c r="K330" s="145"/>
      <c r="L330" s="145"/>
      <c r="M330" s="145"/>
      <c r="N330" s="145"/>
      <c r="O330" s="145"/>
      <c r="P330" s="145"/>
      <c r="Q330" s="144"/>
      <c r="R330" s="145"/>
      <c r="S330" s="145"/>
      <c r="T330" s="145"/>
      <c r="U330" s="145"/>
      <c r="V330" s="145"/>
      <c r="W330" s="145"/>
      <c r="X330" s="146"/>
      <c r="Y330" s="147"/>
      <c r="Z330" s="105"/>
      <c r="AA330" s="105"/>
      <c r="AB330" s="106"/>
      <c r="AC330" s="314"/>
      <c r="AD330" s="315"/>
      <c r="AE330" s="315"/>
      <c r="AF330" s="316"/>
      <c r="AI330" s="119"/>
    </row>
    <row r="331" spans="1:35" ht="18.75" customHeight="1" x14ac:dyDescent="0.15">
      <c r="A331" s="107"/>
      <c r="B331" s="108"/>
      <c r="C331" s="109"/>
      <c r="D331" s="110"/>
      <c r="E331" s="113"/>
      <c r="F331" s="110"/>
      <c r="G331" s="111"/>
      <c r="H331" s="370" t="s">
        <v>102</v>
      </c>
      <c r="I331" s="194" t="s">
        <v>348</v>
      </c>
      <c r="J331" s="160" t="s">
        <v>300</v>
      </c>
      <c r="K331" s="168"/>
      <c r="L331" s="205"/>
      <c r="M331" s="195" t="s">
        <v>348</v>
      </c>
      <c r="N331" s="160" t="s">
        <v>301</v>
      </c>
      <c r="O331" s="241"/>
      <c r="P331" s="241"/>
      <c r="Q331" s="195" t="s">
        <v>348</v>
      </c>
      <c r="R331" s="160" t="s">
        <v>302</v>
      </c>
      <c r="S331" s="241"/>
      <c r="T331" s="241"/>
      <c r="U331" s="241"/>
      <c r="V331" s="241"/>
      <c r="W331" s="241"/>
      <c r="X331" s="242"/>
      <c r="Y331" s="147"/>
      <c r="Z331" s="105"/>
      <c r="AA331" s="105"/>
      <c r="AB331" s="106"/>
      <c r="AC331" s="314"/>
      <c r="AD331" s="315"/>
      <c r="AE331" s="315"/>
      <c r="AF331" s="316"/>
      <c r="AI331" s="119" t="str">
        <f>"2B:"&amp;IF(AND(I331="□",M331="□",Q331="□",I332="□",Q332="□"),"koriha_rryoho1_code:0:koriha_sryoho_code:0:koriha_gengo_code:0:riha_seisin_code:0:koriha_other_code:0",IF(I331="■","koriha_rryoho1_code:2","koriha_rryoho1_code:1")
&amp;IF(M331="■",":koriha_sryoho_code:2",":koriha_sryoho_code:1")
&amp;IF(Q331="■",":koriha_gengo_code:2",":koriha_gengo_code:1")
&amp;IF(I332="■",":riha_seisin_code:2",":riha_seisin_code:1")
&amp;IF(Q332="■",":koriha_other_code:2",":koriha_other_code:1"))</f>
        <v>2B:koriha_rryoho1_code:0:koriha_sryoho_code:0:koriha_gengo_code:0:riha_seisin_code:0:koriha_other_code:0</v>
      </c>
    </row>
    <row r="332" spans="1:35" ht="18.75" customHeight="1" x14ac:dyDescent="0.15">
      <c r="A332" s="107"/>
      <c r="B332" s="108"/>
      <c r="C332" s="109"/>
      <c r="D332" s="110"/>
      <c r="E332" s="113"/>
      <c r="F332" s="110"/>
      <c r="G332" s="111"/>
      <c r="H332" s="371"/>
      <c r="I332" s="128" t="s">
        <v>348</v>
      </c>
      <c r="J332" s="115" t="s">
        <v>303</v>
      </c>
      <c r="K332" s="145"/>
      <c r="L332" s="145"/>
      <c r="M332" s="145"/>
      <c r="N332" s="145"/>
      <c r="O332" s="145"/>
      <c r="P332" s="145"/>
      <c r="Q332" s="191" t="s">
        <v>348</v>
      </c>
      <c r="R332" s="115" t="s">
        <v>304</v>
      </c>
      <c r="S332" s="144"/>
      <c r="T332" s="145"/>
      <c r="U332" s="145"/>
      <c r="V332" s="145"/>
      <c r="W332" s="145"/>
      <c r="X332" s="146"/>
      <c r="Y332" s="147"/>
      <c r="Z332" s="105"/>
      <c r="AA332" s="105"/>
      <c r="AB332" s="106"/>
      <c r="AC332" s="314"/>
      <c r="AD332" s="315"/>
      <c r="AE332" s="315"/>
      <c r="AF332" s="316"/>
      <c r="AI332" s="119"/>
    </row>
    <row r="333" spans="1:35" ht="18.75" customHeight="1" x14ac:dyDescent="0.15">
      <c r="A333" s="107"/>
      <c r="B333" s="108"/>
      <c r="C333" s="109"/>
      <c r="D333" s="110"/>
      <c r="E333" s="113"/>
      <c r="F333" s="110"/>
      <c r="G333" s="111"/>
      <c r="H333" s="240" t="s">
        <v>385</v>
      </c>
      <c r="I333" s="194" t="s">
        <v>348</v>
      </c>
      <c r="J333" s="149" t="s">
        <v>216</v>
      </c>
      <c r="K333" s="149"/>
      <c r="L333" s="152" t="s">
        <v>348</v>
      </c>
      <c r="M333" s="149" t="s">
        <v>217</v>
      </c>
      <c r="N333" s="149"/>
      <c r="O333" s="152" t="s">
        <v>348</v>
      </c>
      <c r="P333" s="149" t="s">
        <v>218</v>
      </c>
      <c r="Q333" s="154"/>
      <c r="R333" s="154"/>
      <c r="S333" s="154"/>
      <c r="T333" s="154"/>
      <c r="U333" s="241"/>
      <c r="V333" s="241"/>
      <c r="W333" s="241"/>
      <c r="X333" s="242"/>
      <c r="Y333" s="147"/>
      <c r="Z333" s="105"/>
      <c r="AA333" s="105"/>
      <c r="AB333" s="106"/>
      <c r="AC333" s="314"/>
      <c r="AD333" s="315"/>
      <c r="AE333" s="315"/>
      <c r="AF333" s="316"/>
      <c r="AI333" s="119" t="str">
        <f>"2B:field225:" &amp; IF(I333="■",1,IF(L333="■",2,IF(O333="■",3,0)))</f>
        <v>2B:field225:0</v>
      </c>
    </row>
    <row r="334" spans="1:35" ht="18.75" customHeight="1" x14ac:dyDescent="0.15">
      <c r="A334" s="107"/>
      <c r="B334" s="108"/>
      <c r="C334" s="109"/>
      <c r="D334" s="110"/>
      <c r="E334" s="113"/>
      <c r="F334" s="110"/>
      <c r="G334" s="111"/>
      <c r="H334" s="230" t="s">
        <v>111</v>
      </c>
      <c r="I334" s="194" t="s">
        <v>348</v>
      </c>
      <c r="J334" s="149" t="s">
        <v>216</v>
      </c>
      <c r="K334" s="149"/>
      <c r="L334" s="152" t="s">
        <v>348</v>
      </c>
      <c r="M334" s="149" t="s">
        <v>224</v>
      </c>
      <c r="N334" s="149"/>
      <c r="O334" s="152" t="s">
        <v>348</v>
      </c>
      <c r="P334" s="149" t="s">
        <v>225</v>
      </c>
      <c r="Q334" s="196"/>
      <c r="R334" s="152" t="s">
        <v>348</v>
      </c>
      <c r="S334" s="149" t="s">
        <v>248</v>
      </c>
      <c r="T334" s="196"/>
      <c r="U334" s="196"/>
      <c r="V334" s="196"/>
      <c r="W334" s="196"/>
      <c r="X334" s="197"/>
      <c r="Y334" s="147"/>
      <c r="Z334" s="105"/>
      <c r="AA334" s="105"/>
      <c r="AB334" s="106"/>
      <c r="AC334" s="314"/>
      <c r="AD334" s="315"/>
      <c r="AE334" s="315"/>
      <c r="AF334" s="316"/>
      <c r="AI334" s="119" t="str">
        <f>"2B:serteikyo_kyoka_code:" &amp; IF(I334="■",1,IF(L334="■",6,IF(O334="■",5,IF(R334="■",7,0))))</f>
        <v>2B:serteikyo_kyoka_code:0</v>
      </c>
    </row>
    <row r="335" spans="1:35" ht="18.75" customHeight="1" x14ac:dyDescent="0.15">
      <c r="A335" s="107"/>
      <c r="B335" s="108"/>
      <c r="C335" s="109"/>
      <c r="D335" s="110"/>
      <c r="E335" s="113"/>
      <c r="F335" s="110"/>
      <c r="G335" s="111"/>
      <c r="H335" s="329" t="s">
        <v>409</v>
      </c>
      <c r="I335" s="360" t="s">
        <v>348</v>
      </c>
      <c r="J335" s="359" t="s">
        <v>216</v>
      </c>
      <c r="K335" s="359"/>
      <c r="L335" s="360" t="s">
        <v>348</v>
      </c>
      <c r="M335" s="359" t="s">
        <v>232</v>
      </c>
      <c r="N335" s="359"/>
      <c r="O335" s="198"/>
      <c r="P335" s="198"/>
      <c r="Q335" s="198"/>
      <c r="R335" s="198"/>
      <c r="S335" s="198"/>
      <c r="T335" s="198"/>
      <c r="U335" s="198"/>
      <c r="V335" s="198"/>
      <c r="W335" s="198"/>
      <c r="X335" s="199"/>
      <c r="Y335" s="147"/>
      <c r="Z335" s="105"/>
      <c r="AA335" s="105"/>
      <c r="AB335" s="106"/>
      <c r="AC335" s="314"/>
      <c r="AD335" s="315"/>
      <c r="AE335" s="315"/>
      <c r="AF335" s="316"/>
      <c r="AI335" s="119" t="str">
        <f>"2B:field221:" &amp; IF(I335="■",1,IF(L335="■",2,0))</f>
        <v>2B:field221:0</v>
      </c>
    </row>
    <row r="336" spans="1:35" ht="18.75" customHeight="1" x14ac:dyDescent="0.15">
      <c r="A336" s="107"/>
      <c r="B336" s="108"/>
      <c r="C336" s="109"/>
      <c r="D336" s="110"/>
      <c r="E336" s="113"/>
      <c r="F336" s="110"/>
      <c r="G336" s="111"/>
      <c r="H336" s="328"/>
      <c r="I336" s="360"/>
      <c r="J336" s="359"/>
      <c r="K336" s="359"/>
      <c r="L336" s="360"/>
      <c r="M336" s="359"/>
      <c r="N336" s="359"/>
      <c r="O336" s="144"/>
      <c r="P336" s="144"/>
      <c r="Q336" s="144"/>
      <c r="R336" s="144"/>
      <c r="S336" s="144"/>
      <c r="T336" s="144"/>
      <c r="U336" s="144"/>
      <c r="V336" s="144"/>
      <c r="W336" s="144"/>
      <c r="X336" s="226"/>
      <c r="Y336" s="147"/>
      <c r="Z336" s="105"/>
      <c r="AA336" s="105"/>
      <c r="AB336" s="106"/>
      <c r="AC336" s="314"/>
      <c r="AD336" s="315"/>
      <c r="AE336" s="315"/>
      <c r="AF336" s="316"/>
    </row>
    <row r="337" spans="1:36" ht="18.75" customHeight="1" x14ac:dyDescent="0.15">
      <c r="A337" s="170"/>
      <c r="B337" s="108"/>
      <c r="C337" s="172"/>
      <c r="D337" s="173"/>
      <c r="E337" s="174"/>
      <c r="F337" s="175"/>
      <c r="G337" s="176"/>
      <c r="H337" s="95" t="s">
        <v>405</v>
      </c>
      <c r="I337" s="194" t="s">
        <v>348</v>
      </c>
      <c r="J337" s="96" t="s">
        <v>216</v>
      </c>
      <c r="K337" s="96"/>
      <c r="L337" s="178" t="s">
        <v>348</v>
      </c>
      <c r="M337" s="96" t="s">
        <v>373</v>
      </c>
      <c r="N337" s="97"/>
      <c r="O337" s="178" t="s">
        <v>348</v>
      </c>
      <c r="P337" s="99" t="s">
        <v>374</v>
      </c>
      <c r="Q337" s="98"/>
      <c r="R337" s="178" t="s">
        <v>348</v>
      </c>
      <c r="S337" s="96" t="s">
        <v>375</v>
      </c>
      <c r="T337" s="98"/>
      <c r="U337" s="178" t="s">
        <v>348</v>
      </c>
      <c r="V337" s="96" t="s">
        <v>376</v>
      </c>
      <c r="W337" s="100"/>
      <c r="X337" s="101"/>
      <c r="Y337" s="179"/>
      <c r="Z337" s="179"/>
      <c r="AA337" s="179"/>
      <c r="AB337" s="180"/>
      <c r="AC337" s="314"/>
      <c r="AD337" s="315"/>
      <c r="AE337" s="315"/>
      <c r="AF337" s="316"/>
      <c r="AG337" s="119"/>
      <c r="AH337" s="119"/>
      <c r="AI337" s="119" t="str">
        <f>"2B:shoguukaizen_code:"&amp;IF(I337="■",1,IF(L337="■",7,IF(O337="■",8,IF(R337="■",9,IF(U337="■","A",0)))))</f>
        <v>2B:shoguukaizen_code:0</v>
      </c>
    </row>
    <row r="338" spans="1:36" ht="18.75" customHeight="1" x14ac:dyDescent="0.15">
      <c r="A338" s="130"/>
      <c r="B338" s="131"/>
      <c r="C338" s="132"/>
      <c r="D338" s="133"/>
      <c r="E338" s="135"/>
      <c r="F338" s="133"/>
      <c r="G338" s="126"/>
      <c r="H338" s="340" t="s">
        <v>96</v>
      </c>
      <c r="I338" s="194" t="s">
        <v>348</v>
      </c>
      <c r="J338" s="124" t="s">
        <v>265</v>
      </c>
      <c r="K338" s="137"/>
      <c r="L338" s="231"/>
      <c r="M338" s="136" t="s">
        <v>348</v>
      </c>
      <c r="N338" s="124" t="s">
        <v>293</v>
      </c>
      <c r="O338" s="232"/>
      <c r="P338" s="232"/>
      <c r="Q338" s="136" t="s">
        <v>348</v>
      </c>
      <c r="R338" s="124" t="s">
        <v>294</v>
      </c>
      <c r="S338" s="232"/>
      <c r="T338" s="232"/>
      <c r="U338" s="136" t="s">
        <v>348</v>
      </c>
      <c r="V338" s="124" t="s">
        <v>295</v>
      </c>
      <c r="W338" s="232"/>
      <c r="X338" s="213"/>
      <c r="Y338" s="136" t="s">
        <v>348</v>
      </c>
      <c r="Z338" s="124" t="s">
        <v>215</v>
      </c>
      <c r="AA338" s="124"/>
      <c r="AB338" s="139"/>
      <c r="AC338" s="311"/>
      <c r="AD338" s="312"/>
      <c r="AE338" s="312"/>
      <c r="AF338" s="313"/>
      <c r="AG338" s="119" t="str">
        <f>"ser_code = '" &amp; IF(A349="■","2B","") &amp; "'"</f>
        <v>ser_code = ''</v>
      </c>
      <c r="AH338" s="119" t="str">
        <f>"2B:jininkbn_code:"&amp;IF(F348="■",1,IF(F349="■",2,IF(F350="■",3,0)))</f>
        <v>2B:jininkbn_code:0</v>
      </c>
      <c r="AI338" s="119" t="str">
        <f>"2B:yakan_kinmu_code:" &amp; IF(I338="■",1,IF(M338="■",2,IF(Q338="■",3,IF(U338="■",7,IF(I339="■",5,IF(M339="■",6,0))))))</f>
        <v>2B:yakan_kinmu_code:0</v>
      </c>
      <c r="AJ338" s="119" t="str">
        <f>"2B:field203:" &amp; IF(Y338="■",1,IF(Y339="■",2,0))</f>
        <v>2B:field203:0</v>
      </c>
    </row>
    <row r="339" spans="1:36" ht="18.75" customHeight="1" x14ac:dyDescent="0.15">
      <c r="A339" s="107"/>
      <c r="B339" s="108"/>
      <c r="C339" s="109"/>
      <c r="D339" s="110"/>
      <c r="E339" s="113"/>
      <c r="F339" s="110"/>
      <c r="G339" s="111"/>
      <c r="H339" s="371"/>
      <c r="I339" s="128" t="s">
        <v>348</v>
      </c>
      <c r="J339" s="115" t="s">
        <v>296</v>
      </c>
      <c r="K339" s="166"/>
      <c r="L339" s="116"/>
      <c r="M339" s="191" t="s">
        <v>348</v>
      </c>
      <c r="N339" s="115" t="s">
        <v>266</v>
      </c>
      <c r="O339" s="144"/>
      <c r="P339" s="144"/>
      <c r="Q339" s="285"/>
      <c r="R339" s="144"/>
      <c r="S339" s="144"/>
      <c r="T339" s="144"/>
      <c r="U339" s="144"/>
      <c r="V339" s="144"/>
      <c r="W339" s="144"/>
      <c r="X339" s="226"/>
      <c r="Y339" s="123" t="s">
        <v>348</v>
      </c>
      <c r="Z339" s="104" t="s">
        <v>221</v>
      </c>
      <c r="AA339" s="105"/>
      <c r="AB339" s="106"/>
      <c r="AC339" s="314"/>
      <c r="AD339" s="315"/>
      <c r="AE339" s="315"/>
      <c r="AF339" s="316"/>
      <c r="AG339" s="119" t="str">
        <f>"2B:sisetukbn_code:"&amp;IF(D349="■","2",0)</f>
        <v>2B:sisetukbn_code:0</v>
      </c>
      <c r="AH339" s="119"/>
      <c r="AI339" s="119"/>
      <c r="AJ339" s="119"/>
    </row>
    <row r="340" spans="1:36" ht="18.75" customHeight="1" x14ac:dyDescent="0.15">
      <c r="A340" s="107"/>
      <c r="B340" s="108"/>
      <c r="C340" s="109"/>
      <c r="D340" s="110"/>
      <c r="E340" s="113"/>
      <c r="F340" s="110"/>
      <c r="G340" s="111"/>
      <c r="H340" s="370" t="s">
        <v>92</v>
      </c>
      <c r="I340" s="194" t="s">
        <v>348</v>
      </c>
      <c r="J340" s="160" t="s">
        <v>216</v>
      </c>
      <c r="K340" s="160"/>
      <c r="L340" s="205"/>
      <c r="M340" s="195" t="s">
        <v>348</v>
      </c>
      <c r="N340" s="160" t="s">
        <v>254</v>
      </c>
      <c r="O340" s="160"/>
      <c r="P340" s="205"/>
      <c r="Q340" s="195" t="s">
        <v>348</v>
      </c>
      <c r="R340" s="198" t="s">
        <v>337</v>
      </c>
      <c r="S340" s="198"/>
      <c r="T340" s="198"/>
      <c r="U340" s="241"/>
      <c r="V340" s="205"/>
      <c r="W340" s="198"/>
      <c r="X340" s="242"/>
      <c r="Y340" s="147"/>
      <c r="Z340" s="105"/>
      <c r="AA340" s="105"/>
      <c r="AB340" s="106"/>
      <c r="AC340" s="314"/>
      <c r="AD340" s="315"/>
      <c r="AE340" s="315"/>
      <c r="AF340" s="316"/>
      <c r="AG340" s="119"/>
      <c r="AH340" s="119"/>
      <c r="AI340" s="119" t="str">
        <f>"2B:"&amp;IF(AND(I340="□",M340="□",Q340="□",I341="□",M341="□"),"ketu_doctor_code:0",IF(I340="■","ketu_doctor_code:1:field197:1:ketu_kangos_code:1:ketu_kshoku_code:1",IF(M340="■","ketu_doctor_code:2","ketu_doctor_code:1")
&amp;IF(Q340="■",":field197:2",":field197:1")
&amp;IF(I341="■",":ketu_kangos_code:2",":ketu_kangos_code:1")
&amp;IF(M341="■",":ketu_kshoku_code:2",":ketu_kshoku_code:1")))</f>
        <v>2B:ketu_doctor_code:0</v>
      </c>
      <c r="AJ340" s="119"/>
    </row>
    <row r="341" spans="1:36" ht="18.75" customHeight="1" x14ac:dyDescent="0.15">
      <c r="A341" s="107"/>
      <c r="B341" s="108"/>
      <c r="C341" s="109"/>
      <c r="D341" s="110"/>
      <c r="E341" s="113"/>
      <c r="F341" s="110"/>
      <c r="G341" s="111"/>
      <c r="H341" s="371"/>
      <c r="I341" s="128" t="s">
        <v>348</v>
      </c>
      <c r="J341" s="144" t="s">
        <v>338</v>
      </c>
      <c r="K341" s="144"/>
      <c r="L341" s="144"/>
      <c r="M341" s="191" t="s">
        <v>348</v>
      </c>
      <c r="N341" s="144" t="s">
        <v>339</v>
      </c>
      <c r="O341" s="116"/>
      <c r="P341" s="144"/>
      <c r="Q341" s="144"/>
      <c r="R341" s="116"/>
      <c r="S341" s="144"/>
      <c r="T341" s="144"/>
      <c r="U341" s="145"/>
      <c r="V341" s="116"/>
      <c r="W341" s="144"/>
      <c r="X341" s="146"/>
      <c r="Y341" s="147"/>
      <c r="Z341" s="105"/>
      <c r="AA341" s="105"/>
      <c r="AB341" s="106"/>
      <c r="AC341" s="314"/>
      <c r="AD341" s="315"/>
      <c r="AE341" s="315"/>
      <c r="AF341" s="316"/>
      <c r="AG341" s="119"/>
      <c r="AH341" s="119"/>
      <c r="AI341" s="119"/>
      <c r="AJ341" s="119"/>
    </row>
    <row r="342" spans="1:36" s="119" customFormat="1" ht="18.75" customHeight="1" x14ac:dyDescent="0.15">
      <c r="A342" s="107"/>
      <c r="B342" s="108"/>
      <c r="C342" s="238"/>
      <c r="D342" s="239"/>
      <c r="E342" s="111"/>
      <c r="F342" s="112"/>
      <c r="G342" s="113"/>
      <c r="H342" s="230" t="s">
        <v>103</v>
      </c>
      <c r="I342" s="148" t="s">
        <v>348</v>
      </c>
      <c r="J342" s="149" t="s">
        <v>360</v>
      </c>
      <c r="K342" s="150"/>
      <c r="L342" s="151"/>
      <c r="M342" s="152" t="s">
        <v>348</v>
      </c>
      <c r="N342" s="149" t="s">
        <v>361</v>
      </c>
      <c r="O342" s="150"/>
      <c r="P342" s="150"/>
      <c r="Q342" s="150"/>
      <c r="R342" s="150"/>
      <c r="S342" s="150"/>
      <c r="T342" s="150"/>
      <c r="U342" s="150"/>
      <c r="V342" s="150"/>
      <c r="W342" s="150"/>
      <c r="X342" s="159"/>
      <c r="Y342" s="147"/>
      <c r="Z342" s="105"/>
      <c r="AA342" s="105"/>
      <c r="AB342" s="106"/>
      <c r="AC342" s="314"/>
      <c r="AD342" s="315"/>
      <c r="AE342" s="315"/>
      <c r="AF342" s="316"/>
      <c r="AI342" s="119" t="str">
        <f>"2B:sintaikousoku_code:" &amp; IF(I342="■",1,IF(M342="■",2,0))</f>
        <v>2B:sintaikousoku_code:0</v>
      </c>
    </row>
    <row r="343" spans="1:36" ht="19.5" customHeight="1" x14ac:dyDescent="0.15">
      <c r="A343" s="107"/>
      <c r="B343" s="108"/>
      <c r="C343" s="109"/>
      <c r="D343" s="110"/>
      <c r="E343" s="111"/>
      <c r="F343" s="112"/>
      <c r="G343" s="113"/>
      <c r="H343" s="114" t="s">
        <v>369</v>
      </c>
      <c r="I343" s="194" t="s">
        <v>348</v>
      </c>
      <c r="J343" s="149" t="s">
        <v>360</v>
      </c>
      <c r="K343" s="150"/>
      <c r="L343" s="151"/>
      <c r="M343" s="152" t="s">
        <v>348</v>
      </c>
      <c r="N343" s="149" t="s">
        <v>370</v>
      </c>
      <c r="O343" s="149"/>
      <c r="P343" s="149"/>
      <c r="Q343" s="154"/>
      <c r="R343" s="154"/>
      <c r="S343" s="154"/>
      <c r="T343" s="154"/>
      <c r="U343" s="154"/>
      <c r="V343" s="154"/>
      <c r="W343" s="154"/>
      <c r="X343" s="155"/>
      <c r="Y343" s="105"/>
      <c r="Z343" s="105"/>
      <c r="AA343" s="105"/>
      <c r="AB343" s="106"/>
      <c r="AC343" s="314"/>
      <c r="AD343" s="315"/>
      <c r="AE343" s="315"/>
      <c r="AF343" s="316"/>
      <c r="AI343" s="119" t="str">
        <f>"2B:field223:" &amp; IF(I343="■",1,IF(M343="■",2,0))</f>
        <v>2B:field223:0</v>
      </c>
    </row>
    <row r="344" spans="1:36" ht="19.5" customHeight="1" x14ac:dyDescent="0.15">
      <c r="A344" s="107"/>
      <c r="B344" s="108"/>
      <c r="C344" s="109"/>
      <c r="D344" s="110"/>
      <c r="E344" s="111"/>
      <c r="F344" s="112"/>
      <c r="G344" s="113"/>
      <c r="H344" s="114" t="s">
        <v>390</v>
      </c>
      <c r="I344" s="194" t="s">
        <v>348</v>
      </c>
      <c r="J344" s="149" t="s">
        <v>360</v>
      </c>
      <c r="K344" s="150"/>
      <c r="L344" s="151"/>
      <c r="M344" s="152" t="s">
        <v>348</v>
      </c>
      <c r="N344" s="149" t="s">
        <v>370</v>
      </c>
      <c r="O344" s="149"/>
      <c r="P344" s="149"/>
      <c r="Q344" s="154"/>
      <c r="R344" s="154"/>
      <c r="S344" s="154"/>
      <c r="T344" s="154"/>
      <c r="U344" s="154"/>
      <c r="V344" s="154"/>
      <c r="W344" s="154"/>
      <c r="X344" s="155"/>
      <c r="Y344" s="105"/>
      <c r="Z344" s="105"/>
      <c r="AA344" s="105"/>
      <c r="AB344" s="106"/>
      <c r="AC344" s="314"/>
      <c r="AD344" s="315"/>
      <c r="AE344" s="315"/>
      <c r="AF344" s="316"/>
      <c r="AI344" s="119" t="str">
        <f>"2B:field232:" &amp; IF(I344="■",1,IF(M344="■",2,0))</f>
        <v>2B:field232:0</v>
      </c>
    </row>
    <row r="345" spans="1:36" ht="18.75" customHeight="1" x14ac:dyDescent="0.15">
      <c r="A345" s="107"/>
      <c r="B345" s="108"/>
      <c r="C345" s="109"/>
      <c r="D345" s="110"/>
      <c r="E345" s="113"/>
      <c r="F345" s="110"/>
      <c r="G345" s="111"/>
      <c r="H345" s="230" t="s">
        <v>149</v>
      </c>
      <c r="I345" s="194" t="s">
        <v>348</v>
      </c>
      <c r="J345" s="149" t="s">
        <v>265</v>
      </c>
      <c r="K345" s="150"/>
      <c r="L345" s="151"/>
      <c r="M345" s="152" t="s">
        <v>348</v>
      </c>
      <c r="N345" s="149" t="s">
        <v>297</v>
      </c>
      <c r="O345" s="154"/>
      <c r="P345" s="154"/>
      <c r="Q345" s="154"/>
      <c r="R345" s="154"/>
      <c r="S345" s="154"/>
      <c r="T345" s="154"/>
      <c r="U345" s="154"/>
      <c r="V345" s="154"/>
      <c r="W345" s="154"/>
      <c r="X345" s="155"/>
      <c r="Y345" s="147"/>
      <c r="Z345" s="105"/>
      <c r="AA345" s="105"/>
      <c r="AB345" s="106"/>
      <c r="AC345" s="314"/>
      <c r="AD345" s="315"/>
      <c r="AE345" s="315"/>
      <c r="AF345" s="316"/>
      <c r="AI345" s="119" t="str">
        <f>"2B:field190:" &amp; IF(I345="■",1,IF(M345="■",2,0))</f>
        <v>2B:field190:0</v>
      </c>
    </row>
    <row r="346" spans="1:36" ht="18.75" customHeight="1" x14ac:dyDescent="0.15">
      <c r="A346" s="107"/>
      <c r="B346" s="108"/>
      <c r="C346" s="109"/>
      <c r="D346" s="110"/>
      <c r="E346" s="113"/>
      <c r="F346" s="110"/>
      <c r="G346" s="111"/>
      <c r="H346" s="230" t="s">
        <v>150</v>
      </c>
      <c r="I346" s="194" t="s">
        <v>348</v>
      </c>
      <c r="J346" s="149" t="s">
        <v>265</v>
      </c>
      <c r="K346" s="150"/>
      <c r="L346" s="151"/>
      <c r="M346" s="152" t="s">
        <v>348</v>
      </c>
      <c r="N346" s="149" t="s">
        <v>297</v>
      </c>
      <c r="O346" s="154"/>
      <c r="P346" s="154"/>
      <c r="Q346" s="154"/>
      <c r="R346" s="154"/>
      <c r="S346" s="154"/>
      <c r="T346" s="154"/>
      <c r="U346" s="154"/>
      <c r="V346" s="154"/>
      <c r="W346" s="154"/>
      <c r="X346" s="155"/>
      <c r="Y346" s="147"/>
      <c r="Z346" s="105"/>
      <c r="AA346" s="105"/>
      <c r="AB346" s="106"/>
      <c r="AC346" s="314"/>
      <c r="AD346" s="315"/>
      <c r="AE346" s="315"/>
      <c r="AF346" s="316"/>
      <c r="AI346" s="119" t="str">
        <f>"2B:field191:" &amp; IF(I346="■",1,IF(M346="■",2,0))</f>
        <v>2B:field191:0</v>
      </c>
    </row>
    <row r="347" spans="1:36" ht="19.5" customHeight="1" x14ac:dyDescent="0.15">
      <c r="A347" s="107"/>
      <c r="B347" s="108"/>
      <c r="C347" s="109"/>
      <c r="D347" s="110"/>
      <c r="E347" s="111"/>
      <c r="F347" s="112"/>
      <c r="G347" s="113"/>
      <c r="H347" s="114" t="s">
        <v>455</v>
      </c>
      <c r="I347" s="148" t="s">
        <v>348</v>
      </c>
      <c r="J347" s="115" t="s">
        <v>453</v>
      </c>
      <c r="K347" s="166"/>
      <c r="L347" s="116"/>
      <c r="M347" s="152" t="s">
        <v>348</v>
      </c>
      <c r="N347" s="115" t="s">
        <v>454</v>
      </c>
      <c r="O347" s="236"/>
      <c r="P347" s="115"/>
      <c r="Q347" s="145"/>
      <c r="R347" s="145"/>
      <c r="S347" s="145"/>
      <c r="T347" s="145"/>
      <c r="U347" s="145"/>
      <c r="V347" s="145"/>
      <c r="W347" s="145"/>
      <c r="X347" s="146"/>
      <c r="Y347" s="162"/>
      <c r="Z347" s="104"/>
      <c r="AA347" s="105"/>
      <c r="AB347" s="106"/>
      <c r="AC347" s="314"/>
      <c r="AD347" s="315"/>
      <c r="AE347" s="315"/>
      <c r="AF347" s="316"/>
      <c r="AI347" s="119" t="str">
        <f>"2B:field242:" &amp; IF(I347="■",1,IF(M347="■",2,0))</f>
        <v>2B:field242:0</v>
      </c>
    </row>
    <row r="348" spans="1:36" ht="18.75" customHeight="1" x14ac:dyDescent="0.15">
      <c r="A348" s="107"/>
      <c r="B348" s="108"/>
      <c r="C348" s="109"/>
      <c r="D348" s="110"/>
      <c r="E348" s="113"/>
      <c r="F348" s="128" t="s">
        <v>348</v>
      </c>
      <c r="G348" s="111" t="s">
        <v>438</v>
      </c>
      <c r="H348" s="230" t="s">
        <v>424</v>
      </c>
      <c r="I348" s="194" t="s">
        <v>348</v>
      </c>
      <c r="J348" s="149" t="s">
        <v>216</v>
      </c>
      <c r="K348" s="150"/>
      <c r="L348" s="152" t="s">
        <v>348</v>
      </c>
      <c r="M348" s="149" t="s">
        <v>232</v>
      </c>
      <c r="N348" s="154"/>
      <c r="O348" s="154"/>
      <c r="P348" s="154"/>
      <c r="Q348" s="154"/>
      <c r="R348" s="154"/>
      <c r="S348" s="154"/>
      <c r="T348" s="154"/>
      <c r="U348" s="154"/>
      <c r="V348" s="154"/>
      <c r="W348" s="154"/>
      <c r="X348" s="155"/>
      <c r="Y348" s="147"/>
      <c r="Z348" s="105"/>
      <c r="AA348" s="105"/>
      <c r="AB348" s="106"/>
      <c r="AC348" s="314"/>
      <c r="AD348" s="315"/>
      <c r="AE348" s="315"/>
      <c r="AF348" s="316"/>
      <c r="AI348" s="119" t="str">
        <f>"2B:jyakuninti_uke_code:" &amp; IF(I348="■",1,IF(L348="■",2,0))</f>
        <v>2B:jyakuninti_uke_code:0</v>
      </c>
    </row>
    <row r="349" spans="1:36" ht="18.75" customHeight="1" x14ac:dyDescent="0.15">
      <c r="A349" s="128" t="s">
        <v>348</v>
      </c>
      <c r="B349" s="108" t="s">
        <v>436</v>
      </c>
      <c r="C349" s="109" t="s">
        <v>427</v>
      </c>
      <c r="D349" s="128" t="s">
        <v>348</v>
      </c>
      <c r="E349" s="113" t="s">
        <v>439</v>
      </c>
      <c r="F349" s="128" t="s">
        <v>348</v>
      </c>
      <c r="G349" s="111" t="s">
        <v>341</v>
      </c>
      <c r="H349" s="230" t="s">
        <v>94</v>
      </c>
      <c r="I349" s="194" t="s">
        <v>348</v>
      </c>
      <c r="J349" s="149" t="s">
        <v>230</v>
      </c>
      <c r="K349" s="150"/>
      <c r="L349" s="151"/>
      <c r="M349" s="152" t="s">
        <v>348</v>
      </c>
      <c r="N349" s="149" t="s">
        <v>231</v>
      </c>
      <c r="O349" s="154"/>
      <c r="P349" s="154"/>
      <c r="Q349" s="154"/>
      <c r="R349" s="154"/>
      <c r="S349" s="154"/>
      <c r="T349" s="154"/>
      <c r="U349" s="154"/>
      <c r="V349" s="154"/>
      <c r="W349" s="154"/>
      <c r="X349" s="155"/>
      <c r="Y349" s="147"/>
      <c r="Z349" s="105"/>
      <c r="AA349" s="105"/>
      <c r="AB349" s="106"/>
      <c r="AC349" s="314"/>
      <c r="AD349" s="315"/>
      <c r="AE349" s="315"/>
      <c r="AF349" s="316"/>
      <c r="AI349" s="119" t="str">
        <f>"2B:sougei_code:" &amp; IF(I349="■",1,IF(M349="■",2,0))</f>
        <v>2B:sougei_code:0</v>
      </c>
    </row>
    <row r="350" spans="1:36" ht="19.5" customHeight="1" x14ac:dyDescent="0.15">
      <c r="A350" s="107"/>
      <c r="B350" s="108"/>
      <c r="C350" s="109"/>
      <c r="D350" s="110"/>
      <c r="E350" s="113"/>
      <c r="F350" s="128" t="s">
        <v>348</v>
      </c>
      <c r="G350" s="111" t="s">
        <v>342</v>
      </c>
      <c r="H350" s="114" t="s">
        <v>372</v>
      </c>
      <c r="I350" s="194" t="s">
        <v>348</v>
      </c>
      <c r="J350" s="149" t="s">
        <v>216</v>
      </c>
      <c r="K350" s="149"/>
      <c r="L350" s="152" t="s">
        <v>348</v>
      </c>
      <c r="M350" s="149" t="s">
        <v>232</v>
      </c>
      <c r="N350" s="149"/>
      <c r="O350" s="154"/>
      <c r="P350" s="149"/>
      <c r="Q350" s="154"/>
      <c r="R350" s="154"/>
      <c r="S350" s="154"/>
      <c r="T350" s="154"/>
      <c r="U350" s="154"/>
      <c r="V350" s="154"/>
      <c r="W350" s="154"/>
      <c r="X350" s="155"/>
      <c r="Y350" s="105"/>
      <c r="Z350" s="105"/>
      <c r="AA350" s="105"/>
      <c r="AB350" s="106"/>
      <c r="AC350" s="314"/>
      <c r="AD350" s="315"/>
      <c r="AE350" s="315"/>
      <c r="AF350" s="316"/>
      <c r="AI350" s="119" t="str">
        <f>"2B:field224:" &amp; IF(I350="■",1,IF(L350="■",2,0))</f>
        <v>2B:field224:0</v>
      </c>
    </row>
    <row r="351" spans="1:36" ht="18.75" customHeight="1" x14ac:dyDescent="0.15">
      <c r="A351" s="107"/>
      <c r="B351" s="108"/>
      <c r="C351" s="109"/>
      <c r="D351" s="110"/>
      <c r="E351" s="113"/>
      <c r="F351" s="110"/>
      <c r="G351" s="111"/>
      <c r="H351" s="230" t="s">
        <v>106</v>
      </c>
      <c r="I351" s="194" t="s">
        <v>348</v>
      </c>
      <c r="J351" s="149" t="s">
        <v>216</v>
      </c>
      <c r="K351" s="150"/>
      <c r="L351" s="152" t="s">
        <v>348</v>
      </c>
      <c r="M351" s="149" t="s">
        <v>232</v>
      </c>
      <c r="N351" s="154"/>
      <c r="O351" s="154"/>
      <c r="P351" s="154"/>
      <c r="Q351" s="154"/>
      <c r="R351" s="154"/>
      <c r="S351" s="154"/>
      <c r="T351" s="154"/>
      <c r="U351" s="154"/>
      <c r="V351" s="154"/>
      <c r="W351" s="154"/>
      <c r="X351" s="155"/>
      <c r="Y351" s="147"/>
      <c r="Z351" s="105"/>
      <c r="AA351" s="105"/>
      <c r="AB351" s="106"/>
      <c r="AC351" s="314"/>
      <c r="AD351" s="315"/>
      <c r="AE351" s="315"/>
      <c r="AF351" s="316"/>
      <c r="AI351" s="119" t="str">
        <f>"2B:ryouyoushoku_code:" &amp; IF(I351="■",1,IF(L351="■",2,0))</f>
        <v>2B:ryouyoushoku_code:0</v>
      </c>
    </row>
    <row r="352" spans="1:36" ht="18.75" customHeight="1" x14ac:dyDescent="0.15">
      <c r="A352" s="107"/>
      <c r="B352" s="108"/>
      <c r="C352" s="109"/>
      <c r="D352" s="110"/>
      <c r="E352" s="113"/>
      <c r="F352" s="110"/>
      <c r="G352" s="111"/>
      <c r="H352" s="230" t="s">
        <v>109</v>
      </c>
      <c r="I352" s="194" t="s">
        <v>348</v>
      </c>
      <c r="J352" s="149" t="s">
        <v>216</v>
      </c>
      <c r="K352" s="149"/>
      <c r="L352" s="152" t="s">
        <v>348</v>
      </c>
      <c r="M352" s="149" t="s">
        <v>217</v>
      </c>
      <c r="N352" s="149"/>
      <c r="O352" s="152" t="s">
        <v>348</v>
      </c>
      <c r="P352" s="149" t="s">
        <v>218</v>
      </c>
      <c r="Q352" s="154"/>
      <c r="R352" s="154"/>
      <c r="S352" s="154"/>
      <c r="T352" s="154"/>
      <c r="U352" s="154"/>
      <c r="V352" s="154"/>
      <c r="W352" s="154"/>
      <c r="X352" s="155"/>
      <c r="Y352" s="147"/>
      <c r="Z352" s="105"/>
      <c r="AA352" s="105"/>
      <c r="AB352" s="106"/>
      <c r="AC352" s="314"/>
      <c r="AD352" s="315"/>
      <c r="AE352" s="315"/>
      <c r="AF352" s="316"/>
      <c r="AI352" s="119" t="str">
        <f>"2B:ninti_senmoncare_code:" &amp; IF(I352="■",1,IF(O352="■",3,IF(L352="■",2,0)))</f>
        <v>2B:ninti_senmoncare_code:0</v>
      </c>
    </row>
    <row r="353" spans="1:36" ht="18.75" customHeight="1" x14ac:dyDescent="0.15">
      <c r="A353" s="107"/>
      <c r="B353" s="108"/>
      <c r="C353" s="109"/>
      <c r="D353" s="110"/>
      <c r="E353" s="113"/>
      <c r="F353" s="110"/>
      <c r="G353" s="111"/>
      <c r="H353" s="370" t="s">
        <v>136</v>
      </c>
      <c r="I353" s="194" t="s">
        <v>348</v>
      </c>
      <c r="J353" s="160" t="s">
        <v>285</v>
      </c>
      <c r="K353" s="160"/>
      <c r="L353" s="241"/>
      <c r="M353" s="241"/>
      <c r="N353" s="241"/>
      <c r="O353" s="241"/>
      <c r="P353" s="195" t="s">
        <v>348</v>
      </c>
      <c r="Q353" s="160" t="s">
        <v>286</v>
      </c>
      <c r="R353" s="241"/>
      <c r="S353" s="241"/>
      <c r="T353" s="241"/>
      <c r="U353" s="241"/>
      <c r="V353" s="241"/>
      <c r="W353" s="241"/>
      <c r="X353" s="242"/>
      <c r="Y353" s="147"/>
      <c r="Z353" s="105"/>
      <c r="AA353" s="105"/>
      <c r="AB353" s="106"/>
      <c r="AC353" s="314"/>
      <c r="AD353" s="315"/>
      <c r="AE353" s="315"/>
      <c r="AF353" s="316"/>
      <c r="AI353" s="119" t="str">
        <f>"2B:" &amp; IF(AND(I353="□",P353="□",I354="□"),"tokusin_jyusho_code:0:tokusin_yakuzai_code:0:shuudan_comu_code:0",IF(I353="■","tokusin_jyusho_code:2","tokusin_jyusho_code:1")
&amp;IF(P353="■",":tokusin_yakuzai_code:2",":tokusin_yakuzai_code:1")
&amp;IF(I354="■",":shuudan_comu_code:2",":shuudan_comu_code:1"))</f>
        <v>2B:tokusin_jyusho_code:0:tokusin_yakuzai_code:0:shuudan_comu_code:0</v>
      </c>
    </row>
    <row r="354" spans="1:36" ht="18.75" customHeight="1" x14ac:dyDescent="0.15">
      <c r="A354" s="107"/>
      <c r="B354" s="108"/>
      <c r="C354" s="109"/>
      <c r="D354" s="110"/>
      <c r="E354" s="113"/>
      <c r="F354" s="110"/>
      <c r="G354" s="111"/>
      <c r="H354" s="371"/>
      <c r="I354" s="128" t="s">
        <v>348</v>
      </c>
      <c r="J354" s="115" t="s">
        <v>299</v>
      </c>
      <c r="K354" s="145"/>
      <c r="L354" s="145"/>
      <c r="M354" s="145"/>
      <c r="N354" s="145"/>
      <c r="O354" s="145"/>
      <c r="P354" s="145"/>
      <c r="Q354" s="144"/>
      <c r="R354" s="145"/>
      <c r="S354" s="145"/>
      <c r="T354" s="145"/>
      <c r="U354" s="145"/>
      <c r="V354" s="145"/>
      <c r="W354" s="145"/>
      <c r="X354" s="146"/>
      <c r="Y354" s="147"/>
      <c r="Z354" s="105"/>
      <c r="AA354" s="105"/>
      <c r="AB354" s="106"/>
      <c r="AC354" s="314"/>
      <c r="AD354" s="315"/>
      <c r="AE354" s="315"/>
      <c r="AF354" s="316"/>
      <c r="AI354" s="119"/>
    </row>
    <row r="355" spans="1:36" ht="18.75" customHeight="1" x14ac:dyDescent="0.15">
      <c r="A355" s="107"/>
      <c r="B355" s="108"/>
      <c r="C355" s="109"/>
      <c r="D355" s="110"/>
      <c r="E355" s="113"/>
      <c r="F355" s="110"/>
      <c r="G355" s="111"/>
      <c r="H355" s="370" t="s">
        <v>102</v>
      </c>
      <c r="I355" s="194" t="s">
        <v>348</v>
      </c>
      <c r="J355" s="160" t="s">
        <v>300</v>
      </c>
      <c r="K355" s="168"/>
      <c r="L355" s="205"/>
      <c r="M355" s="195" t="s">
        <v>348</v>
      </c>
      <c r="N355" s="160" t="s">
        <v>301</v>
      </c>
      <c r="O355" s="241"/>
      <c r="P355" s="241"/>
      <c r="Q355" s="195" t="s">
        <v>348</v>
      </c>
      <c r="R355" s="160" t="s">
        <v>302</v>
      </c>
      <c r="S355" s="241"/>
      <c r="T355" s="241"/>
      <c r="U355" s="241"/>
      <c r="V355" s="241"/>
      <c r="W355" s="241"/>
      <c r="X355" s="242"/>
      <c r="Y355" s="147"/>
      <c r="Z355" s="105"/>
      <c r="AA355" s="105"/>
      <c r="AB355" s="106"/>
      <c r="AC355" s="314"/>
      <c r="AD355" s="315"/>
      <c r="AE355" s="315"/>
      <c r="AF355" s="316"/>
      <c r="AI355" s="119" t="str">
        <f>"2B:"&amp;IF(AND(I355="□",M355="□",Q355="□",I356="□",Q356="□"),"koriha_rryoho1_code:0:koriha_sryoho_code:0:koriha_gengo_code:0:riha_seisin_code:0:koriha_other_code:0",IF(I355="■","koriha_rryoho1_code:2","koriha_rryoho1_code:1")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2B:koriha_rryoho1_code:0:koriha_sryoho_code:0:koriha_gengo_code:0:riha_seisin_code:0:koriha_other_code:0</v>
      </c>
    </row>
    <row r="356" spans="1:36" ht="18.75" customHeight="1" x14ac:dyDescent="0.15">
      <c r="A356" s="107"/>
      <c r="B356" s="108"/>
      <c r="C356" s="109"/>
      <c r="D356" s="110"/>
      <c r="E356" s="113"/>
      <c r="F356" s="110"/>
      <c r="G356" s="111"/>
      <c r="H356" s="371"/>
      <c r="I356" s="128" t="s">
        <v>348</v>
      </c>
      <c r="J356" s="115" t="s">
        <v>303</v>
      </c>
      <c r="K356" s="145"/>
      <c r="L356" s="145"/>
      <c r="M356" s="145"/>
      <c r="N356" s="145"/>
      <c r="O356" s="145"/>
      <c r="P356" s="145"/>
      <c r="Q356" s="191" t="s">
        <v>348</v>
      </c>
      <c r="R356" s="115" t="s">
        <v>304</v>
      </c>
      <c r="S356" s="144"/>
      <c r="T356" s="145"/>
      <c r="U356" s="145"/>
      <c r="V356" s="145"/>
      <c r="W356" s="145"/>
      <c r="X356" s="146"/>
      <c r="Y356" s="147"/>
      <c r="Z356" s="105"/>
      <c r="AA356" s="105"/>
      <c r="AB356" s="106"/>
      <c r="AC356" s="314"/>
      <c r="AD356" s="315"/>
      <c r="AE356" s="315"/>
      <c r="AF356" s="316"/>
      <c r="AI356" s="119"/>
    </row>
    <row r="357" spans="1:36" ht="18.75" customHeight="1" x14ac:dyDescent="0.15">
      <c r="A357" s="107"/>
      <c r="B357" s="108"/>
      <c r="C357" s="109"/>
      <c r="D357" s="110"/>
      <c r="E357" s="113"/>
      <c r="F357" s="110"/>
      <c r="G357" s="111"/>
      <c r="H357" s="240" t="s">
        <v>385</v>
      </c>
      <c r="I357" s="194" t="s">
        <v>348</v>
      </c>
      <c r="J357" s="149" t="s">
        <v>216</v>
      </c>
      <c r="K357" s="149"/>
      <c r="L357" s="152" t="s">
        <v>348</v>
      </c>
      <c r="M357" s="149" t="s">
        <v>217</v>
      </c>
      <c r="N357" s="149"/>
      <c r="O357" s="152" t="s">
        <v>348</v>
      </c>
      <c r="P357" s="149" t="s">
        <v>218</v>
      </c>
      <c r="Q357" s="154"/>
      <c r="R357" s="154"/>
      <c r="S357" s="154"/>
      <c r="T357" s="154"/>
      <c r="U357" s="241"/>
      <c r="V357" s="241"/>
      <c r="W357" s="241"/>
      <c r="X357" s="242"/>
      <c r="Y357" s="147"/>
      <c r="Z357" s="105"/>
      <c r="AA357" s="105"/>
      <c r="AB357" s="106"/>
      <c r="AC357" s="314"/>
      <c r="AD357" s="315"/>
      <c r="AE357" s="315"/>
      <c r="AF357" s="316"/>
      <c r="AI357" s="119" t="str">
        <f>"2B:field225:" &amp; IF(I357="■",1,IF(L357="■",2,IF(O357="■",3,0)))</f>
        <v>2B:field225:0</v>
      </c>
    </row>
    <row r="358" spans="1:36" ht="18.75" customHeight="1" x14ac:dyDescent="0.15">
      <c r="A358" s="107"/>
      <c r="B358" s="108"/>
      <c r="C358" s="109"/>
      <c r="D358" s="110"/>
      <c r="E358" s="113"/>
      <c r="F358" s="110"/>
      <c r="G358" s="111"/>
      <c r="H358" s="230" t="s">
        <v>111</v>
      </c>
      <c r="I358" s="194" t="s">
        <v>348</v>
      </c>
      <c r="J358" s="149" t="s">
        <v>216</v>
      </c>
      <c r="K358" s="149"/>
      <c r="L358" s="152" t="s">
        <v>348</v>
      </c>
      <c r="M358" s="149" t="s">
        <v>224</v>
      </c>
      <c r="N358" s="149"/>
      <c r="O358" s="152" t="s">
        <v>348</v>
      </c>
      <c r="P358" s="149" t="s">
        <v>225</v>
      </c>
      <c r="Q358" s="196"/>
      <c r="R358" s="152" t="s">
        <v>348</v>
      </c>
      <c r="S358" s="149" t="s">
        <v>248</v>
      </c>
      <c r="T358" s="196"/>
      <c r="U358" s="196"/>
      <c r="V358" s="196"/>
      <c r="W358" s="196"/>
      <c r="X358" s="197"/>
      <c r="Y358" s="147"/>
      <c r="Z358" s="105"/>
      <c r="AA358" s="105"/>
      <c r="AB358" s="106"/>
      <c r="AC358" s="314"/>
      <c r="AD358" s="315"/>
      <c r="AE358" s="315"/>
      <c r="AF358" s="316"/>
      <c r="AI358" s="119" t="str">
        <f>"2B:serteikyo_kyoka_code:" &amp; IF(I358="■",1,IF(L358="■",6,IF(O358="■",5,IF(R358="■",7,0))))</f>
        <v>2B:serteikyo_kyoka_code:0</v>
      </c>
    </row>
    <row r="359" spans="1:36" ht="18.75" customHeight="1" x14ac:dyDescent="0.15">
      <c r="A359" s="107"/>
      <c r="B359" s="108"/>
      <c r="C359" s="109"/>
      <c r="D359" s="110"/>
      <c r="E359" s="113"/>
      <c r="F359" s="110"/>
      <c r="G359" s="111"/>
      <c r="H359" s="329" t="s">
        <v>409</v>
      </c>
      <c r="I359" s="360" t="s">
        <v>348</v>
      </c>
      <c r="J359" s="359" t="s">
        <v>216</v>
      </c>
      <c r="K359" s="359"/>
      <c r="L359" s="360" t="s">
        <v>348</v>
      </c>
      <c r="M359" s="359" t="s">
        <v>232</v>
      </c>
      <c r="N359" s="359"/>
      <c r="O359" s="198"/>
      <c r="P359" s="198"/>
      <c r="Q359" s="198"/>
      <c r="R359" s="198"/>
      <c r="S359" s="198"/>
      <c r="T359" s="198"/>
      <c r="U359" s="198"/>
      <c r="V359" s="198"/>
      <c r="W359" s="198"/>
      <c r="X359" s="199"/>
      <c r="Y359" s="147"/>
      <c r="Z359" s="105"/>
      <c r="AA359" s="105"/>
      <c r="AB359" s="106"/>
      <c r="AC359" s="314"/>
      <c r="AD359" s="315"/>
      <c r="AE359" s="315"/>
      <c r="AF359" s="316"/>
      <c r="AI359" s="119" t="str">
        <f>"2B:field221:" &amp; IF(I359="■",1,IF(L359="■",2,0))</f>
        <v>2B:field221:0</v>
      </c>
    </row>
    <row r="360" spans="1:36" ht="18.75" customHeight="1" x14ac:dyDescent="0.15">
      <c r="A360" s="107"/>
      <c r="B360" s="108"/>
      <c r="C360" s="109"/>
      <c r="D360" s="110"/>
      <c r="E360" s="113"/>
      <c r="F360" s="110"/>
      <c r="G360" s="111"/>
      <c r="H360" s="328"/>
      <c r="I360" s="360"/>
      <c r="J360" s="359"/>
      <c r="K360" s="359"/>
      <c r="L360" s="360"/>
      <c r="M360" s="359"/>
      <c r="N360" s="359"/>
      <c r="O360" s="144"/>
      <c r="P360" s="144"/>
      <c r="Q360" s="144"/>
      <c r="R360" s="144"/>
      <c r="S360" s="144"/>
      <c r="T360" s="144"/>
      <c r="U360" s="144"/>
      <c r="V360" s="144"/>
      <c r="W360" s="144"/>
      <c r="X360" s="226"/>
      <c r="Y360" s="147"/>
      <c r="Z360" s="105"/>
      <c r="AA360" s="105"/>
      <c r="AB360" s="106"/>
      <c r="AC360" s="314"/>
      <c r="AD360" s="315"/>
      <c r="AE360" s="315"/>
      <c r="AF360" s="316"/>
    </row>
    <row r="361" spans="1:36" ht="18.75" customHeight="1" x14ac:dyDescent="0.15">
      <c r="A361" s="170"/>
      <c r="B361" s="171"/>
      <c r="C361" s="172"/>
      <c r="D361" s="173"/>
      <c r="E361" s="174"/>
      <c r="F361" s="175"/>
      <c r="G361" s="176"/>
      <c r="H361" s="95" t="s">
        <v>405</v>
      </c>
      <c r="I361" s="177" t="s">
        <v>348</v>
      </c>
      <c r="J361" s="96" t="s">
        <v>216</v>
      </c>
      <c r="K361" s="96"/>
      <c r="L361" s="178" t="s">
        <v>348</v>
      </c>
      <c r="M361" s="96" t="s">
        <v>373</v>
      </c>
      <c r="N361" s="97"/>
      <c r="O361" s="178" t="s">
        <v>348</v>
      </c>
      <c r="P361" s="99" t="s">
        <v>374</v>
      </c>
      <c r="Q361" s="98"/>
      <c r="R361" s="178" t="s">
        <v>348</v>
      </c>
      <c r="S361" s="96" t="s">
        <v>375</v>
      </c>
      <c r="T361" s="98"/>
      <c r="U361" s="178" t="s">
        <v>348</v>
      </c>
      <c r="V361" s="96" t="s">
        <v>376</v>
      </c>
      <c r="W361" s="100"/>
      <c r="X361" s="101"/>
      <c r="Y361" s="179"/>
      <c r="Z361" s="179"/>
      <c r="AA361" s="179"/>
      <c r="AB361" s="180"/>
      <c r="AC361" s="351"/>
      <c r="AD361" s="352"/>
      <c r="AE361" s="352"/>
      <c r="AF361" s="353"/>
      <c r="AG361" s="119"/>
      <c r="AH361" s="119"/>
      <c r="AI361" s="119" t="str">
        <f>"2B:shoguukaizen_code:"&amp;IF(I361="■",1,IF(L361="■",7,IF(O361="■",8,IF(R361="■",9,IF(U361="■","A",0)))))</f>
        <v>2B:shoguukaizen_code:0</v>
      </c>
    </row>
    <row r="362" spans="1:36" ht="18.75" customHeight="1" x14ac:dyDescent="0.15">
      <c r="A362" s="130"/>
      <c r="B362" s="131"/>
      <c r="C362" s="132"/>
      <c r="D362" s="133"/>
      <c r="E362" s="135"/>
      <c r="F362" s="133"/>
      <c r="G362" s="126"/>
      <c r="H362" s="340" t="s">
        <v>96</v>
      </c>
      <c r="I362" s="140" t="s">
        <v>348</v>
      </c>
      <c r="J362" s="124" t="s">
        <v>265</v>
      </c>
      <c r="K362" s="137"/>
      <c r="L362" s="231"/>
      <c r="M362" s="136" t="s">
        <v>348</v>
      </c>
      <c r="N362" s="124" t="s">
        <v>293</v>
      </c>
      <c r="O362" s="232"/>
      <c r="P362" s="232"/>
      <c r="Q362" s="136" t="s">
        <v>348</v>
      </c>
      <c r="R362" s="124" t="s">
        <v>294</v>
      </c>
      <c r="S362" s="232"/>
      <c r="T362" s="232"/>
      <c r="U362" s="136" t="s">
        <v>348</v>
      </c>
      <c r="V362" s="124" t="s">
        <v>295</v>
      </c>
      <c r="W362" s="232"/>
      <c r="X362" s="213"/>
      <c r="Y362" s="140" t="s">
        <v>348</v>
      </c>
      <c r="Z362" s="124" t="s">
        <v>215</v>
      </c>
      <c r="AA362" s="124"/>
      <c r="AB362" s="139"/>
      <c r="AC362" s="311"/>
      <c r="AD362" s="312"/>
      <c r="AE362" s="312"/>
      <c r="AF362" s="313"/>
      <c r="AG362" s="119" t="str">
        <f>"ser_code = '" &amp; IF(A371="■","2B","") &amp; "'"</f>
        <v>ser_code = ''</v>
      </c>
      <c r="AH362" s="119" t="str">
        <f>"2B:jininkbn_code:"&amp;IF(F371="■",1,0)</f>
        <v>2B:jininkbn_code:0</v>
      </c>
      <c r="AI362" s="119" t="str">
        <f>"2B:yakan_kinmu_code:" &amp; IF(I362="■",1,IF(M362="■",2,IF(Q362="■",3,IF(U362="■",7,IF(I363="■",5,IF(M363="■",6,0))))))</f>
        <v>2B:yakan_kinmu_code:0</v>
      </c>
      <c r="AJ362" s="119" t="str">
        <f>"2B:field203:" &amp; IF(Y362="■",1,IF(Y363="■",2,0))</f>
        <v>2B:field203:0</v>
      </c>
    </row>
    <row r="363" spans="1:36" ht="18.75" customHeight="1" x14ac:dyDescent="0.15">
      <c r="A363" s="107"/>
      <c r="B363" s="108"/>
      <c r="C363" s="109"/>
      <c r="D363" s="110"/>
      <c r="E363" s="113"/>
      <c r="F363" s="110"/>
      <c r="G363" s="111"/>
      <c r="H363" s="371"/>
      <c r="I363" s="128" t="s">
        <v>348</v>
      </c>
      <c r="J363" s="115" t="s">
        <v>296</v>
      </c>
      <c r="K363" s="166"/>
      <c r="L363" s="116"/>
      <c r="M363" s="191" t="s">
        <v>348</v>
      </c>
      <c r="N363" s="115" t="s">
        <v>266</v>
      </c>
      <c r="O363" s="144"/>
      <c r="P363" s="144"/>
      <c r="Q363" s="144"/>
      <c r="R363" s="144"/>
      <c r="S363" s="144"/>
      <c r="T363" s="144"/>
      <c r="U363" s="144"/>
      <c r="V363" s="144"/>
      <c r="W363" s="144"/>
      <c r="X363" s="226"/>
      <c r="Y363" s="123" t="s">
        <v>348</v>
      </c>
      <c r="Z363" s="104" t="s">
        <v>221</v>
      </c>
      <c r="AA363" s="105"/>
      <c r="AB363" s="106"/>
      <c r="AC363" s="314"/>
      <c r="AD363" s="315"/>
      <c r="AE363" s="315"/>
      <c r="AF363" s="316"/>
      <c r="AG363" s="119" t="str">
        <f>"2B:sisetukbn_code:"&amp;IF(D371="■","3",0)</f>
        <v>2B:sisetukbn_code:0</v>
      </c>
      <c r="AH363" s="119"/>
      <c r="AI363" s="119"/>
      <c r="AJ363" s="119"/>
    </row>
    <row r="364" spans="1:36" ht="18.75" customHeight="1" x14ac:dyDescent="0.15">
      <c r="A364" s="107"/>
      <c r="B364" s="108"/>
      <c r="C364" s="109"/>
      <c r="D364" s="110"/>
      <c r="E364" s="113"/>
      <c r="F364" s="110"/>
      <c r="G364" s="111"/>
      <c r="H364" s="370" t="s">
        <v>92</v>
      </c>
      <c r="I364" s="194" t="s">
        <v>348</v>
      </c>
      <c r="J364" s="160" t="s">
        <v>216</v>
      </c>
      <c r="K364" s="160"/>
      <c r="L364" s="205"/>
      <c r="M364" s="195" t="s">
        <v>348</v>
      </c>
      <c r="N364" s="160" t="s">
        <v>254</v>
      </c>
      <c r="O364" s="160"/>
      <c r="P364" s="205"/>
      <c r="Q364" s="195" t="s">
        <v>348</v>
      </c>
      <c r="R364" s="198" t="s">
        <v>337</v>
      </c>
      <c r="S364" s="198"/>
      <c r="T364" s="198"/>
      <c r="U364" s="241"/>
      <c r="V364" s="205"/>
      <c r="W364" s="198"/>
      <c r="X364" s="242"/>
      <c r="Y364" s="147"/>
      <c r="Z364" s="105"/>
      <c r="AA364" s="105"/>
      <c r="AB364" s="106"/>
      <c r="AC364" s="314"/>
      <c r="AD364" s="315"/>
      <c r="AE364" s="315"/>
      <c r="AF364" s="316"/>
      <c r="AG364" s="119"/>
      <c r="AH364" s="119"/>
      <c r="AI364" s="119" t="str">
        <f>"2B:"&amp;IF(AND(I364="□",M364="□",Q364="□",I365="□",M365="□"),"ketu_doctor_code:0",IF(I364="■","ketu_doctor_code:1:field197:1:ketu_kangos_code:1:ketu_kshoku_code:1",IF(M364="■","ketu_doctor_code:2","ketu_doctor_code:1")
&amp;IF(Q364="■",":field197:2",":field197:1")
&amp;IF(I365="■",":ketu_kangos_code:2",":ketu_kangos_code:1")
&amp;IF(M365="■",":ketu_kshoku_code:2",":ketu_kshoku_code:1")))</f>
        <v>2B:ketu_doctor_code:0</v>
      </c>
      <c r="AJ364" s="119"/>
    </row>
    <row r="365" spans="1:36" ht="18.75" customHeight="1" x14ac:dyDescent="0.15">
      <c r="A365" s="107"/>
      <c r="B365" s="108"/>
      <c r="C365" s="109"/>
      <c r="D365" s="110"/>
      <c r="E365" s="113"/>
      <c r="F365" s="110"/>
      <c r="G365" s="111"/>
      <c r="H365" s="371"/>
      <c r="I365" s="128" t="s">
        <v>348</v>
      </c>
      <c r="J365" s="144" t="s">
        <v>338</v>
      </c>
      <c r="K365" s="144"/>
      <c r="L365" s="144"/>
      <c r="M365" s="191" t="s">
        <v>348</v>
      </c>
      <c r="N365" s="144" t="s">
        <v>339</v>
      </c>
      <c r="O365" s="116"/>
      <c r="P365" s="144"/>
      <c r="Q365" s="144"/>
      <c r="R365" s="116"/>
      <c r="S365" s="144"/>
      <c r="T365" s="144"/>
      <c r="U365" s="145"/>
      <c r="V365" s="116"/>
      <c r="W365" s="144"/>
      <c r="X365" s="146"/>
      <c r="Y365" s="147"/>
      <c r="Z365" s="105"/>
      <c r="AA365" s="105"/>
      <c r="AB365" s="106"/>
      <c r="AC365" s="314"/>
      <c r="AD365" s="315"/>
      <c r="AE365" s="315"/>
      <c r="AF365" s="316"/>
    </row>
    <row r="366" spans="1:36" s="119" customFormat="1" ht="18.75" customHeight="1" x14ac:dyDescent="0.15">
      <c r="A366" s="107"/>
      <c r="B366" s="108"/>
      <c r="C366" s="238"/>
      <c r="D366" s="239"/>
      <c r="E366" s="111"/>
      <c r="F366" s="112"/>
      <c r="G366" s="113"/>
      <c r="H366" s="230" t="s">
        <v>103</v>
      </c>
      <c r="I366" s="148" t="s">
        <v>348</v>
      </c>
      <c r="J366" s="149" t="s">
        <v>360</v>
      </c>
      <c r="K366" s="150"/>
      <c r="L366" s="151"/>
      <c r="M366" s="152" t="s">
        <v>348</v>
      </c>
      <c r="N366" s="149" t="s">
        <v>361</v>
      </c>
      <c r="O366" s="150"/>
      <c r="P366" s="150"/>
      <c r="Q366" s="150"/>
      <c r="R366" s="150"/>
      <c r="S366" s="150"/>
      <c r="T366" s="150"/>
      <c r="U366" s="150"/>
      <c r="V366" s="150"/>
      <c r="W366" s="150"/>
      <c r="X366" s="159"/>
      <c r="Y366" s="147"/>
      <c r="Z366" s="105"/>
      <c r="AA366" s="105"/>
      <c r="AB366" s="106"/>
      <c r="AC366" s="314"/>
      <c r="AD366" s="315"/>
      <c r="AE366" s="315"/>
      <c r="AF366" s="316"/>
      <c r="AI366" s="119" t="str">
        <f>"2B:sintaikousoku_code:" &amp; IF(I366="■",1,IF(M366="■",2,0))</f>
        <v>2B:sintaikousoku_code:0</v>
      </c>
    </row>
    <row r="367" spans="1:36" ht="19.5" customHeight="1" x14ac:dyDescent="0.15">
      <c r="A367" s="107"/>
      <c r="B367" s="108"/>
      <c r="C367" s="109"/>
      <c r="D367" s="110"/>
      <c r="E367" s="111"/>
      <c r="F367" s="112"/>
      <c r="G367" s="113"/>
      <c r="H367" s="114" t="s">
        <v>369</v>
      </c>
      <c r="I367" s="194" t="s">
        <v>348</v>
      </c>
      <c r="J367" s="149" t="s">
        <v>360</v>
      </c>
      <c r="K367" s="150"/>
      <c r="L367" s="151"/>
      <c r="M367" s="152" t="s">
        <v>348</v>
      </c>
      <c r="N367" s="149" t="s">
        <v>370</v>
      </c>
      <c r="O367" s="154"/>
      <c r="P367" s="149"/>
      <c r="Q367" s="154"/>
      <c r="R367" s="154"/>
      <c r="S367" s="154"/>
      <c r="T367" s="154"/>
      <c r="U367" s="154"/>
      <c r="V367" s="154"/>
      <c r="W367" s="154"/>
      <c r="X367" s="155"/>
      <c r="Y367" s="105"/>
      <c r="Z367" s="105"/>
      <c r="AA367" s="105"/>
      <c r="AB367" s="106"/>
      <c r="AC367" s="314"/>
      <c r="AD367" s="315"/>
      <c r="AE367" s="315"/>
      <c r="AF367" s="316"/>
      <c r="AI367" s="119" t="str">
        <f>"2B:field223:" &amp; IF(I367="■",1,IF(M367="■",2,0))</f>
        <v>2B:field223:0</v>
      </c>
    </row>
    <row r="368" spans="1:36" ht="19.5" customHeight="1" x14ac:dyDescent="0.15">
      <c r="A368" s="107"/>
      <c r="B368" s="108"/>
      <c r="C368" s="109"/>
      <c r="D368" s="110"/>
      <c r="E368" s="111"/>
      <c r="F368" s="112"/>
      <c r="G368" s="113"/>
      <c r="H368" s="114" t="s">
        <v>390</v>
      </c>
      <c r="I368" s="194" t="s">
        <v>348</v>
      </c>
      <c r="J368" s="149" t="s">
        <v>360</v>
      </c>
      <c r="K368" s="150"/>
      <c r="L368" s="151"/>
      <c r="M368" s="152" t="s">
        <v>348</v>
      </c>
      <c r="N368" s="149" t="s">
        <v>370</v>
      </c>
      <c r="O368" s="154"/>
      <c r="P368" s="149"/>
      <c r="Q368" s="154"/>
      <c r="R368" s="154"/>
      <c r="S368" s="154"/>
      <c r="T368" s="154"/>
      <c r="U368" s="154"/>
      <c r="V368" s="154"/>
      <c r="W368" s="154"/>
      <c r="X368" s="155"/>
      <c r="Y368" s="105"/>
      <c r="Z368" s="105"/>
      <c r="AA368" s="105"/>
      <c r="AB368" s="106"/>
      <c r="AC368" s="314"/>
      <c r="AD368" s="315"/>
      <c r="AE368" s="315"/>
      <c r="AF368" s="316"/>
      <c r="AI368" s="119" t="str">
        <f>"2B:field232:" &amp; IF(I368="■",1,IF(M368="■",2,0))</f>
        <v>2B:field232:0</v>
      </c>
    </row>
    <row r="369" spans="1:36" ht="18.75" customHeight="1" x14ac:dyDescent="0.15">
      <c r="A369" s="107"/>
      <c r="B369" s="108"/>
      <c r="C369" s="109"/>
      <c r="D369" s="110"/>
      <c r="E369" s="113"/>
      <c r="F369" s="110"/>
      <c r="G369" s="111"/>
      <c r="H369" s="230" t="s">
        <v>149</v>
      </c>
      <c r="I369" s="194" t="s">
        <v>348</v>
      </c>
      <c r="J369" s="149" t="s">
        <v>265</v>
      </c>
      <c r="K369" s="150"/>
      <c r="L369" s="151"/>
      <c r="M369" s="152" t="s">
        <v>348</v>
      </c>
      <c r="N369" s="149" t="s">
        <v>297</v>
      </c>
      <c r="O369" s="154"/>
      <c r="P369" s="154"/>
      <c r="Q369" s="154"/>
      <c r="R369" s="154"/>
      <c r="S369" s="154"/>
      <c r="T369" s="154"/>
      <c r="U369" s="154"/>
      <c r="V369" s="154"/>
      <c r="W369" s="154"/>
      <c r="X369" s="155"/>
      <c r="Y369" s="147"/>
      <c r="Z369" s="105"/>
      <c r="AA369" s="105"/>
      <c r="AB369" s="106"/>
      <c r="AC369" s="314"/>
      <c r="AD369" s="315"/>
      <c r="AE369" s="315"/>
      <c r="AF369" s="316"/>
      <c r="AI369" s="119" t="str">
        <f>"2B:field190:" &amp; IF(I369="■",1,IF(M369="■",2,0))</f>
        <v>2B:field190:0</v>
      </c>
    </row>
    <row r="370" spans="1:36" ht="18.75" customHeight="1" x14ac:dyDescent="0.15">
      <c r="A370" s="107"/>
      <c r="B370" s="108"/>
      <c r="C370" s="109"/>
      <c r="D370" s="110"/>
      <c r="E370" s="113"/>
      <c r="F370" s="110"/>
      <c r="G370" s="111"/>
      <c r="H370" s="230" t="s">
        <v>150</v>
      </c>
      <c r="I370" s="194" t="s">
        <v>348</v>
      </c>
      <c r="J370" s="149" t="s">
        <v>265</v>
      </c>
      <c r="K370" s="150"/>
      <c r="L370" s="151"/>
      <c r="M370" s="152" t="s">
        <v>348</v>
      </c>
      <c r="N370" s="149" t="s">
        <v>297</v>
      </c>
      <c r="O370" s="154"/>
      <c r="P370" s="154"/>
      <c r="Q370" s="154"/>
      <c r="R370" s="154"/>
      <c r="S370" s="154"/>
      <c r="T370" s="154"/>
      <c r="U370" s="154"/>
      <c r="V370" s="154"/>
      <c r="W370" s="154"/>
      <c r="X370" s="155"/>
      <c r="Y370" s="147"/>
      <c r="Z370" s="105"/>
      <c r="AA370" s="105"/>
      <c r="AB370" s="106"/>
      <c r="AC370" s="314"/>
      <c r="AD370" s="315"/>
      <c r="AE370" s="315"/>
      <c r="AF370" s="316"/>
      <c r="AI370" s="119" t="str">
        <f>"2B:field191:" &amp; IF(I370="■",1,IF(M370="■",2,0))</f>
        <v>2B:field191:0</v>
      </c>
    </row>
    <row r="371" spans="1:36" ht="18.75" customHeight="1" x14ac:dyDescent="0.15">
      <c r="A371" s="128" t="s">
        <v>348</v>
      </c>
      <c r="B371" s="108" t="s">
        <v>436</v>
      </c>
      <c r="C371" s="109" t="s">
        <v>427</v>
      </c>
      <c r="D371" s="128" t="s">
        <v>348</v>
      </c>
      <c r="E371" s="113" t="s">
        <v>440</v>
      </c>
      <c r="F371" s="128" t="s">
        <v>348</v>
      </c>
      <c r="G371" s="111" t="s">
        <v>344</v>
      </c>
      <c r="H371" s="230" t="s">
        <v>424</v>
      </c>
      <c r="I371" s="194" t="s">
        <v>348</v>
      </c>
      <c r="J371" s="149" t="s">
        <v>216</v>
      </c>
      <c r="K371" s="150"/>
      <c r="L371" s="152" t="s">
        <v>348</v>
      </c>
      <c r="M371" s="149" t="s">
        <v>232</v>
      </c>
      <c r="N371" s="154"/>
      <c r="O371" s="154"/>
      <c r="P371" s="154"/>
      <c r="Q371" s="154"/>
      <c r="R371" s="154"/>
      <c r="S371" s="154"/>
      <c r="T371" s="154"/>
      <c r="U371" s="154"/>
      <c r="V371" s="154"/>
      <c r="W371" s="154"/>
      <c r="X371" s="155"/>
      <c r="Y371" s="147"/>
      <c r="Z371" s="105"/>
      <c r="AA371" s="105"/>
      <c r="AB371" s="106"/>
      <c r="AC371" s="314"/>
      <c r="AD371" s="315"/>
      <c r="AE371" s="315"/>
      <c r="AF371" s="316"/>
      <c r="AI371" s="119" t="str">
        <f>"2B:jyakuninti_uke_code:" &amp; IF(I371="■",1,IF(L371="■",2,0))</f>
        <v>2B:jyakuninti_uke_code:0</v>
      </c>
    </row>
    <row r="372" spans="1:36" ht="18.75" customHeight="1" x14ac:dyDescent="0.15">
      <c r="A372" s="110"/>
      <c r="B372" s="108"/>
      <c r="C372" s="109"/>
      <c r="D372" s="110"/>
      <c r="E372" s="113"/>
      <c r="F372" s="110"/>
      <c r="G372" s="111"/>
      <c r="H372" s="230" t="s">
        <v>94</v>
      </c>
      <c r="I372" s="194" t="s">
        <v>348</v>
      </c>
      <c r="J372" s="149" t="s">
        <v>230</v>
      </c>
      <c r="K372" s="150"/>
      <c r="L372" s="151"/>
      <c r="M372" s="152" t="s">
        <v>348</v>
      </c>
      <c r="N372" s="149" t="s">
        <v>231</v>
      </c>
      <c r="O372" s="154"/>
      <c r="P372" s="154"/>
      <c r="Q372" s="154"/>
      <c r="R372" s="154"/>
      <c r="S372" s="154"/>
      <c r="T372" s="154"/>
      <c r="U372" s="154"/>
      <c r="V372" s="154"/>
      <c r="W372" s="154"/>
      <c r="X372" s="155"/>
      <c r="Y372" s="147"/>
      <c r="Z372" s="105"/>
      <c r="AA372" s="105"/>
      <c r="AB372" s="106"/>
      <c r="AC372" s="314"/>
      <c r="AD372" s="315"/>
      <c r="AE372" s="315"/>
      <c r="AF372" s="316"/>
      <c r="AI372" s="119" t="str">
        <f>"2B:sougei_code:" &amp; IF(I372="■",1,IF(M372="■",2,0))</f>
        <v>2B:sougei_code:0</v>
      </c>
    </row>
    <row r="373" spans="1:36" ht="19.5" customHeight="1" x14ac:dyDescent="0.15">
      <c r="A373" s="107"/>
      <c r="B373" s="108"/>
      <c r="C373" s="109"/>
      <c r="D373" s="110"/>
      <c r="E373" s="113"/>
      <c r="F373" s="110"/>
      <c r="G373" s="111"/>
      <c r="H373" s="114" t="s">
        <v>372</v>
      </c>
      <c r="I373" s="194" t="s">
        <v>348</v>
      </c>
      <c r="J373" s="149" t="s">
        <v>216</v>
      </c>
      <c r="K373" s="149"/>
      <c r="L373" s="152" t="s">
        <v>348</v>
      </c>
      <c r="M373" s="149" t="s">
        <v>232</v>
      </c>
      <c r="N373" s="149"/>
      <c r="O373" s="154"/>
      <c r="P373" s="149"/>
      <c r="Q373" s="154"/>
      <c r="R373" s="154"/>
      <c r="S373" s="154"/>
      <c r="T373" s="154"/>
      <c r="U373" s="154"/>
      <c r="V373" s="154"/>
      <c r="W373" s="154"/>
      <c r="X373" s="155"/>
      <c r="Y373" s="105"/>
      <c r="Z373" s="105"/>
      <c r="AA373" s="105"/>
      <c r="AB373" s="106"/>
      <c r="AC373" s="314"/>
      <c r="AD373" s="315"/>
      <c r="AE373" s="315"/>
      <c r="AF373" s="316"/>
      <c r="AI373" s="119" t="str">
        <f>"2B:field224:" &amp; IF(I373="■",1,IF(L373="■",2,0))</f>
        <v>2B:field224:0</v>
      </c>
    </row>
    <row r="374" spans="1:36" ht="18.75" customHeight="1" x14ac:dyDescent="0.15">
      <c r="A374" s="107"/>
      <c r="B374" s="108"/>
      <c r="C374" s="109"/>
      <c r="D374" s="110"/>
      <c r="E374" s="113"/>
      <c r="F374" s="110"/>
      <c r="G374" s="111"/>
      <c r="H374" s="230" t="s">
        <v>106</v>
      </c>
      <c r="I374" s="194" t="s">
        <v>348</v>
      </c>
      <c r="J374" s="149" t="s">
        <v>216</v>
      </c>
      <c r="K374" s="150"/>
      <c r="L374" s="152" t="s">
        <v>348</v>
      </c>
      <c r="M374" s="149" t="s">
        <v>232</v>
      </c>
      <c r="N374" s="154"/>
      <c r="O374" s="154"/>
      <c r="P374" s="154"/>
      <c r="Q374" s="154"/>
      <c r="R374" s="154"/>
      <c r="S374" s="154"/>
      <c r="T374" s="154"/>
      <c r="U374" s="154"/>
      <c r="V374" s="154"/>
      <c r="W374" s="154"/>
      <c r="X374" s="155"/>
      <c r="Y374" s="147"/>
      <c r="Z374" s="105"/>
      <c r="AA374" s="105"/>
      <c r="AB374" s="106"/>
      <c r="AC374" s="314"/>
      <c r="AD374" s="315"/>
      <c r="AE374" s="315"/>
      <c r="AF374" s="316"/>
      <c r="AI374" s="119" t="str">
        <f>"2B:ryouyoushoku_code:" &amp; IF(I374="■",1,IF(L374="■",2,0))</f>
        <v>2B:ryouyoushoku_code:0</v>
      </c>
    </row>
    <row r="375" spans="1:36" ht="18.75" customHeight="1" x14ac:dyDescent="0.15">
      <c r="A375" s="107"/>
      <c r="B375" s="108"/>
      <c r="C375" s="109"/>
      <c r="D375" s="110"/>
      <c r="E375" s="113"/>
      <c r="F375" s="110"/>
      <c r="G375" s="111"/>
      <c r="H375" s="230" t="s">
        <v>109</v>
      </c>
      <c r="I375" s="194" t="s">
        <v>348</v>
      </c>
      <c r="J375" s="149" t="s">
        <v>216</v>
      </c>
      <c r="K375" s="149"/>
      <c r="L375" s="152" t="s">
        <v>348</v>
      </c>
      <c r="M375" s="149" t="s">
        <v>217</v>
      </c>
      <c r="N375" s="149"/>
      <c r="O375" s="152" t="s">
        <v>348</v>
      </c>
      <c r="P375" s="149" t="s">
        <v>218</v>
      </c>
      <c r="Q375" s="154"/>
      <c r="R375" s="154"/>
      <c r="S375" s="154"/>
      <c r="T375" s="154"/>
      <c r="U375" s="154"/>
      <c r="V375" s="154"/>
      <c r="W375" s="154"/>
      <c r="X375" s="155"/>
      <c r="Y375" s="147"/>
      <c r="Z375" s="105"/>
      <c r="AA375" s="105"/>
      <c r="AB375" s="106"/>
      <c r="AC375" s="314"/>
      <c r="AD375" s="315"/>
      <c r="AE375" s="315"/>
      <c r="AF375" s="316"/>
      <c r="AI375" s="119" t="str">
        <f>"2B:ninti_senmoncare_code:" &amp; IF(I375="■",1,IF(O375="■",3,IF(L375="■",2,0)))</f>
        <v>2B:ninti_senmoncare_code:0</v>
      </c>
    </row>
    <row r="376" spans="1:36" ht="18.75" customHeight="1" x14ac:dyDescent="0.15">
      <c r="A376" s="110"/>
      <c r="B376" s="108"/>
      <c r="C376" s="109"/>
      <c r="D376" s="110"/>
      <c r="E376" s="113"/>
      <c r="F376" s="110"/>
      <c r="G376" s="111"/>
      <c r="H376" s="240" t="s">
        <v>385</v>
      </c>
      <c r="I376" s="194" t="s">
        <v>348</v>
      </c>
      <c r="J376" s="149" t="s">
        <v>216</v>
      </c>
      <c r="K376" s="149"/>
      <c r="L376" s="152" t="s">
        <v>348</v>
      </c>
      <c r="M376" s="149" t="s">
        <v>217</v>
      </c>
      <c r="N376" s="149"/>
      <c r="O376" s="152" t="s">
        <v>348</v>
      </c>
      <c r="P376" s="149" t="s">
        <v>218</v>
      </c>
      <c r="Q376" s="154"/>
      <c r="R376" s="154"/>
      <c r="S376" s="154"/>
      <c r="T376" s="154"/>
      <c r="U376" s="241"/>
      <c r="V376" s="241"/>
      <c r="W376" s="241"/>
      <c r="X376" s="242"/>
      <c r="Y376" s="147"/>
      <c r="Z376" s="105"/>
      <c r="AA376" s="105"/>
      <c r="AB376" s="106"/>
      <c r="AC376" s="314"/>
      <c r="AD376" s="315"/>
      <c r="AE376" s="315"/>
      <c r="AF376" s="316"/>
      <c r="AI376" s="119" t="str">
        <f>"2B:field225:" &amp; IF(I376="■",1,IF(L376="■",2,IF(O376="■",3,0)))</f>
        <v>2B:field225:0</v>
      </c>
    </row>
    <row r="377" spans="1:36" ht="18.75" customHeight="1" x14ac:dyDescent="0.15">
      <c r="A377" s="107"/>
      <c r="B377" s="108"/>
      <c r="C377" s="109"/>
      <c r="D377" s="110"/>
      <c r="E377" s="113"/>
      <c r="F377" s="110"/>
      <c r="G377" s="111"/>
      <c r="H377" s="230" t="s">
        <v>111</v>
      </c>
      <c r="I377" s="194" t="s">
        <v>348</v>
      </c>
      <c r="J377" s="149" t="s">
        <v>216</v>
      </c>
      <c r="K377" s="149"/>
      <c r="L377" s="152" t="s">
        <v>348</v>
      </c>
      <c r="M377" s="149" t="s">
        <v>224</v>
      </c>
      <c r="N377" s="149"/>
      <c r="O377" s="152" t="s">
        <v>348</v>
      </c>
      <c r="P377" s="149" t="s">
        <v>225</v>
      </c>
      <c r="Q377" s="196"/>
      <c r="R377" s="152" t="s">
        <v>348</v>
      </c>
      <c r="S377" s="149" t="s">
        <v>248</v>
      </c>
      <c r="T377" s="196"/>
      <c r="U377" s="196"/>
      <c r="V377" s="196"/>
      <c r="W377" s="196"/>
      <c r="X377" s="197"/>
      <c r="Y377" s="147"/>
      <c r="Z377" s="105"/>
      <c r="AA377" s="105"/>
      <c r="AB377" s="106"/>
      <c r="AC377" s="314"/>
      <c r="AD377" s="315"/>
      <c r="AE377" s="315"/>
      <c r="AF377" s="316"/>
      <c r="AI377" s="119" t="str">
        <f>"2B:serteikyo_kyoka_code:" &amp; IF(I377="■",1,IF(L377="■",6,IF(O377="■",5,IF(R377="■",7,0))))</f>
        <v>2B:serteikyo_kyoka_code:0</v>
      </c>
    </row>
    <row r="378" spans="1:36" ht="18.75" customHeight="1" x14ac:dyDescent="0.15">
      <c r="A378" s="107"/>
      <c r="B378" s="108"/>
      <c r="C378" s="109"/>
      <c r="D378" s="110"/>
      <c r="E378" s="113"/>
      <c r="F378" s="110"/>
      <c r="G378" s="111"/>
      <c r="H378" s="329" t="s">
        <v>409</v>
      </c>
      <c r="I378" s="360" t="s">
        <v>348</v>
      </c>
      <c r="J378" s="359" t="s">
        <v>216</v>
      </c>
      <c r="K378" s="359"/>
      <c r="L378" s="360" t="s">
        <v>348</v>
      </c>
      <c r="M378" s="359" t="s">
        <v>232</v>
      </c>
      <c r="N378" s="359"/>
      <c r="O378" s="198"/>
      <c r="P378" s="198"/>
      <c r="Q378" s="198"/>
      <c r="R378" s="198"/>
      <c r="S378" s="198"/>
      <c r="T378" s="198"/>
      <c r="U378" s="198"/>
      <c r="V378" s="198"/>
      <c r="W378" s="198"/>
      <c r="X378" s="199"/>
      <c r="Y378" s="147"/>
      <c r="Z378" s="105"/>
      <c r="AA378" s="105"/>
      <c r="AB378" s="106"/>
      <c r="AC378" s="314"/>
      <c r="AD378" s="315"/>
      <c r="AE378" s="315"/>
      <c r="AF378" s="316"/>
      <c r="AI378" s="119" t="str">
        <f>"2B:field221:" &amp; IF(I378="■",1,IF(L378="■",2,0))</f>
        <v>2B:field221:0</v>
      </c>
    </row>
    <row r="379" spans="1:36" ht="18.75" customHeight="1" x14ac:dyDescent="0.15">
      <c r="A379" s="107"/>
      <c r="B379" s="108"/>
      <c r="C379" s="109"/>
      <c r="D379" s="110"/>
      <c r="E379" s="113"/>
      <c r="F379" s="110"/>
      <c r="G379" s="111"/>
      <c r="H379" s="328"/>
      <c r="I379" s="360"/>
      <c r="J379" s="359"/>
      <c r="K379" s="359"/>
      <c r="L379" s="360"/>
      <c r="M379" s="359"/>
      <c r="N379" s="359"/>
      <c r="O379" s="144"/>
      <c r="P379" s="144"/>
      <c r="Q379" s="144"/>
      <c r="R379" s="144"/>
      <c r="S379" s="144"/>
      <c r="T379" s="144"/>
      <c r="U379" s="144"/>
      <c r="V379" s="144"/>
      <c r="W379" s="144"/>
      <c r="X379" s="226"/>
      <c r="Y379" s="147"/>
      <c r="Z379" s="105"/>
      <c r="AA379" s="105"/>
      <c r="AB379" s="106"/>
      <c r="AC379" s="314"/>
      <c r="AD379" s="315"/>
      <c r="AE379" s="315"/>
      <c r="AF379" s="316"/>
    </row>
    <row r="380" spans="1:36" ht="18.75" customHeight="1" x14ac:dyDescent="0.15">
      <c r="A380" s="170"/>
      <c r="B380" s="108"/>
      <c r="C380" s="172"/>
      <c r="D380" s="173"/>
      <c r="E380" s="174"/>
      <c r="F380" s="175"/>
      <c r="G380" s="176"/>
      <c r="H380" s="95" t="s">
        <v>405</v>
      </c>
      <c r="I380" s="194" t="s">
        <v>348</v>
      </c>
      <c r="J380" s="96" t="s">
        <v>216</v>
      </c>
      <c r="K380" s="96"/>
      <c r="L380" s="178" t="s">
        <v>348</v>
      </c>
      <c r="M380" s="96" t="s">
        <v>373</v>
      </c>
      <c r="N380" s="97"/>
      <c r="O380" s="178" t="s">
        <v>348</v>
      </c>
      <c r="P380" s="99" t="s">
        <v>374</v>
      </c>
      <c r="Q380" s="98"/>
      <c r="R380" s="178" t="s">
        <v>348</v>
      </c>
      <c r="S380" s="96" t="s">
        <v>375</v>
      </c>
      <c r="T380" s="98"/>
      <c r="U380" s="178" t="s">
        <v>348</v>
      </c>
      <c r="V380" s="96" t="s">
        <v>376</v>
      </c>
      <c r="W380" s="100"/>
      <c r="X380" s="101"/>
      <c r="Y380" s="179"/>
      <c r="Z380" s="179"/>
      <c r="AA380" s="179"/>
      <c r="AB380" s="180"/>
      <c r="AC380" s="314"/>
      <c r="AD380" s="315"/>
      <c r="AE380" s="315"/>
      <c r="AF380" s="316"/>
      <c r="AG380" s="119"/>
      <c r="AH380" s="119"/>
      <c r="AI380" s="119" t="str">
        <f>"2B:shoguukaizen_code:"&amp;IF(I380="■",1,IF(L380="■",7,IF(O380="■",8,IF(R380="■",9,IF(U380="■","A",0)))))</f>
        <v>2B:shoguukaizen_code:0</v>
      </c>
    </row>
    <row r="381" spans="1:36" ht="18.75" customHeight="1" x14ac:dyDescent="0.15">
      <c r="A381" s="130"/>
      <c r="B381" s="131"/>
      <c r="C381" s="132"/>
      <c r="D381" s="133"/>
      <c r="E381" s="135"/>
      <c r="F381" s="133"/>
      <c r="G381" s="126"/>
      <c r="H381" s="340" t="s">
        <v>96</v>
      </c>
      <c r="I381" s="194" t="s">
        <v>348</v>
      </c>
      <c r="J381" s="124" t="s">
        <v>265</v>
      </c>
      <c r="K381" s="137"/>
      <c r="L381" s="231"/>
      <c r="M381" s="136" t="s">
        <v>348</v>
      </c>
      <c r="N381" s="124" t="s">
        <v>293</v>
      </c>
      <c r="O381" s="232"/>
      <c r="P381" s="232"/>
      <c r="Q381" s="136" t="s">
        <v>348</v>
      </c>
      <c r="R381" s="124" t="s">
        <v>294</v>
      </c>
      <c r="S381" s="232"/>
      <c r="T381" s="232"/>
      <c r="U381" s="136" t="s">
        <v>348</v>
      </c>
      <c r="V381" s="124" t="s">
        <v>295</v>
      </c>
      <c r="W381" s="232"/>
      <c r="X381" s="213"/>
      <c r="Y381" s="140" t="s">
        <v>348</v>
      </c>
      <c r="Z381" s="124" t="s">
        <v>215</v>
      </c>
      <c r="AA381" s="124"/>
      <c r="AB381" s="139"/>
      <c r="AC381" s="311"/>
      <c r="AD381" s="312"/>
      <c r="AE381" s="312"/>
      <c r="AF381" s="313"/>
      <c r="AG381" s="119" t="str">
        <f>"ser_code = '" &amp; IF(A390="■","2B","") &amp; "'"</f>
        <v>ser_code = ''</v>
      </c>
      <c r="AH381" s="119" t="str">
        <f>"2B:jininkbn_code:"&amp;IF(F390="■",2,0)</f>
        <v>2B:jininkbn_code:0</v>
      </c>
      <c r="AI381" s="119" t="str">
        <f>"2B:yakan_kinmu_code:" &amp; IF(I381="■",1,IF(M381="■",2,IF(Q381="■",3,IF(U381="■",7,IF(I382="■",5,IF(M382="■",6,0))))))</f>
        <v>2B:yakan_kinmu_code:0</v>
      </c>
      <c r="AJ381" s="119" t="str">
        <f>"2B:field203:" &amp; IF(Y381="■",1,IF(Y382="■",2,0))</f>
        <v>2B:field203:0</v>
      </c>
    </row>
    <row r="382" spans="1:36" ht="18.75" customHeight="1" x14ac:dyDescent="0.15">
      <c r="A382" s="107"/>
      <c r="B382" s="108"/>
      <c r="C382" s="109"/>
      <c r="D382" s="110"/>
      <c r="E382" s="113"/>
      <c r="F382" s="110"/>
      <c r="G382" s="111"/>
      <c r="H382" s="371"/>
      <c r="I382" s="128" t="s">
        <v>348</v>
      </c>
      <c r="J382" s="115" t="s">
        <v>296</v>
      </c>
      <c r="K382" s="166"/>
      <c r="L382" s="116"/>
      <c r="M382" s="191" t="s">
        <v>348</v>
      </c>
      <c r="N382" s="115" t="s">
        <v>266</v>
      </c>
      <c r="O382" s="144"/>
      <c r="P382" s="144"/>
      <c r="Q382" s="144"/>
      <c r="R382" s="144"/>
      <c r="S382" s="144"/>
      <c r="T382" s="144"/>
      <c r="U382" s="144"/>
      <c r="V382" s="144"/>
      <c r="W382" s="144"/>
      <c r="X382" s="226"/>
      <c r="Y382" s="123" t="s">
        <v>348</v>
      </c>
      <c r="Z382" s="104" t="s">
        <v>221</v>
      </c>
      <c r="AA382" s="105"/>
      <c r="AB382" s="106"/>
      <c r="AC382" s="314"/>
      <c r="AD382" s="315"/>
      <c r="AE382" s="315"/>
      <c r="AF382" s="316"/>
      <c r="AG382" s="119" t="str">
        <f>"2B:sisetukbn_code:"&amp;IF(D390="■","3",0)</f>
        <v>2B:sisetukbn_code:0</v>
      </c>
      <c r="AH382" s="119"/>
      <c r="AI382" s="119"/>
      <c r="AJ382" s="119"/>
    </row>
    <row r="383" spans="1:36" ht="18.75" customHeight="1" x14ac:dyDescent="0.15">
      <c r="A383" s="107"/>
      <c r="B383" s="108"/>
      <c r="C383" s="109"/>
      <c r="D383" s="110"/>
      <c r="E383" s="113"/>
      <c r="F383" s="110"/>
      <c r="G383" s="111"/>
      <c r="H383" s="370" t="s">
        <v>92</v>
      </c>
      <c r="I383" s="194" t="s">
        <v>348</v>
      </c>
      <c r="J383" s="160" t="s">
        <v>216</v>
      </c>
      <c r="K383" s="160"/>
      <c r="L383" s="205"/>
      <c r="M383" s="195" t="s">
        <v>348</v>
      </c>
      <c r="N383" s="160" t="s">
        <v>254</v>
      </c>
      <c r="O383" s="160"/>
      <c r="P383" s="205"/>
      <c r="Q383" s="195" t="s">
        <v>348</v>
      </c>
      <c r="R383" s="198" t="s">
        <v>337</v>
      </c>
      <c r="S383" s="198"/>
      <c r="T383" s="198"/>
      <c r="U383" s="241"/>
      <c r="V383" s="205"/>
      <c r="W383" s="198"/>
      <c r="X383" s="242"/>
      <c r="Y383" s="147"/>
      <c r="Z383" s="105"/>
      <c r="AA383" s="105"/>
      <c r="AB383" s="106"/>
      <c r="AC383" s="314"/>
      <c r="AD383" s="315"/>
      <c r="AE383" s="315"/>
      <c r="AF383" s="316"/>
      <c r="AG383" s="119"/>
      <c r="AH383" s="119"/>
      <c r="AI383" s="119" t="str">
        <f>"2B:"&amp;IF(AND(I383="□",M383="□",Q383="□",I384="□",M384="□"),"ketu_doctor_code:0",IF(I383="■","ketu_doctor_code:1:field197:1:ketu_kangos_code:1:ketu_kshoku_code:1",IF(M383="■","ketu_doctor_code:2","ketu_doctor_code:1")
&amp;IF(Q383="■",":field197:2",":field197:1")
&amp;IF(I384="■",":ketu_kangos_code:2",":ketu_kangos_code:1")
&amp;IF(M384="■",":ketu_kshoku_code:2",":ketu_kshoku_code:1")))</f>
        <v>2B:ketu_doctor_code:0</v>
      </c>
      <c r="AJ383" s="119"/>
    </row>
    <row r="384" spans="1:36" ht="18.75" customHeight="1" x14ac:dyDescent="0.15">
      <c r="A384" s="107"/>
      <c r="B384" s="108"/>
      <c r="C384" s="109"/>
      <c r="D384" s="110"/>
      <c r="E384" s="113"/>
      <c r="F384" s="110"/>
      <c r="G384" s="111"/>
      <c r="H384" s="371"/>
      <c r="I384" s="128" t="s">
        <v>348</v>
      </c>
      <c r="J384" s="144" t="s">
        <v>338</v>
      </c>
      <c r="K384" s="144"/>
      <c r="L384" s="144"/>
      <c r="M384" s="191" t="s">
        <v>348</v>
      </c>
      <c r="N384" s="144" t="s">
        <v>339</v>
      </c>
      <c r="O384" s="116"/>
      <c r="P384" s="144"/>
      <c r="Q384" s="144"/>
      <c r="R384" s="116"/>
      <c r="S384" s="144"/>
      <c r="T384" s="144"/>
      <c r="U384" s="145"/>
      <c r="V384" s="116"/>
      <c r="W384" s="144"/>
      <c r="X384" s="146"/>
      <c r="Y384" s="147"/>
      <c r="Z384" s="105"/>
      <c r="AA384" s="105"/>
      <c r="AB384" s="106"/>
      <c r="AC384" s="314"/>
      <c r="AD384" s="315"/>
      <c r="AE384" s="315"/>
      <c r="AF384" s="316"/>
    </row>
    <row r="385" spans="1:35" s="119" customFormat="1" ht="18.75" customHeight="1" x14ac:dyDescent="0.15">
      <c r="A385" s="107"/>
      <c r="B385" s="108"/>
      <c r="C385" s="238"/>
      <c r="D385" s="239"/>
      <c r="E385" s="111"/>
      <c r="F385" s="112"/>
      <c r="G385" s="113"/>
      <c r="H385" s="230" t="s">
        <v>103</v>
      </c>
      <c r="I385" s="148" t="s">
        <v>348</v>
      </c>
      <c r="J385" s="149" t="s">
        <v>360</v>
      </c>
      <c r="K385" s="150"/>
      <c r="L385" s="151"/>
      <c r="M385" s="152" t="s">
        <v>348</v>
      </c>
      <c r="N385" s="149" t="s">
        <v>361</v>
      </c>
      <c r="O385" s="150"/>
      <c r="P385" s="150"/>
      <c r="Q385" s="150"/>
      <c r="R385" s="150"/>
      <c r="S385" s="150"/>
      <c r="T385" s="150"/>
      <c r="U385" s="150"/>
      <c r="V385" s="150"/>
      <c r="W385" s="150"/>
      <c r="X385" s="159"/>
      <c r="Y385" s="147"/>
      <c r="Z385" s="105"/>
      <c r="AA385" s="105"/>
      <c r="AB385" s="106"/>
      <c r="AC385" s="314"/>
      <c r="AD385" s="315"/>
      <c r="AE385" s="315"/>
      <c r="AF385" s="316"/>
      <c r="AI385" s="119" t="str">
        <f>"2B:sintaikousoku_code:" &amp; IF(I385="■",1,IF(M385="■",2,0))</f>
        <v>2B:sintaikousoku_code:0</v>
      </c>
    </row>
    <row r="386" spans="1:35" ht="19.5" customHeight="1" x14ac:dyDescent="0.15">
      <c r="A386" s="107"/>
      <c r="B386" s="108"/>
      <c r="C386" s="109"/>
      <c r="D386" s="110"/>
      <c r="E386" s="111"/>
      <c r="F386" s="112"/>
      <c r="G386" s="113"/>
      <c r="H386" s="114" t="s">
        <v>369</v>
      </c>
      <c r="I386" s="194" t="s">
        <v>348</v>
      </c>
      <c r="J386" s="149" t="s">
        <v>360</v>
      </c>
      <c r="K386" s="150"/>
      <c r="L386" s="151"/>
      <c r="M386" s="152" t="s">
        <v>348</v>
      </c>
      <c r="N386" s="149" t="s">
        <v>370</v>
      </c>
      <c r="O386" s="154"/>
      <c r="P386" s="149"/>
      <c r="Q386" s="154"/>
      <c r="R386" s="154"/>
      <c r="S386" s="154"/>
      <c r="T386" s="154"/>
      <c r="U386" s="154"/>
      <c r="V386" s="154"/>
      <c r="W386" s="154"/>
      <c r="X386" s="155"/>
      <c r="Y386" s="105"/>
      <c r="Z386" s="105"/>
      <c r="AA386" s="105"/>
      <c r="AB386" s="106"/>
      <c r="AC386" s="314"/>
      <c r="AD386" s="315"/>
      <c r="AE386" s="315"/>
      <c r="AF386" s="316"/>
      <c r="AI386" s="119" t="str">
        <f>"2B:field223:" &amp; IF(I386="■",1,IF(M386="■",2,0))</f>
        <v>2B:field223:0</v>
      </c>
    </row>
    <row r="387" spans="1:35" ht="19.5" customHeight="1" x14ac:dyDescent="0.15">
      <c r="A387" s="107"/>
      <c r="B387" s="108"/>
      <c r="C387" s="109"/>
      <c r="D387" s="110"/>
      <c r="E387" s="111"/>
      <c r="F387" s="112"/>
      <c r="G387" s="113"/>
      <c r="H387" s="114" t="s">
        <v>390</v>
      </c>
      <c r="I387" s="194" t="s">
        <v>348</v>
      </c>
      <c r="J387" s="149" t="s">
        <v>360</v>
      </c>
      <c r="K387" s="150"/>
      <c r="L387" s="151"/>
      <c r="M387" s="152" t="s">
        <v>348</v>
      </c>
      <c r="N387" s="149" t="s">
        <v>370</v>
      </c>
      <c r="O387" s="154"/>
      <c r="P387" s="149"/>
      <c r="Q387" s="154"/>
      <c r="R387" s="154"/>
      <c r="S387" s="154"/>
      <c r="T387" s="154"/>
      <c r="U387" s="154"/>
      <c r="V387" s="154"/>
      <c r="W387" s="154"/>
      <c r="X387" s="155"/>
      <c r="Y387" s="105"/>
      <c r="Z387" s="105"/>
      <c r="AA387" s="105"/>
      <c r="AB387" s="106"/>
      <c r="AC387" s="314"/>
      <c r="AD387" s="315"/>
      <c r="AE387" s="315"/>
      <c r="AF387" s="316"/>
      <c r="AI387" s="119" t="str">
        <f>"2B:field232:" &amp; IF(I387="■",1,IF(M387="■",2,0))</f>
        <v>2B:field232:0</v>
      </c>
    </row>
    <row r="388" spans="1:35" ht="18.75" customHeight="1" x14ac:dyDescent="0.15">
      <c r="A388" s="107"/>
      <c r="B388" s="108"/>
      <c r="C388" s="109"/>
      <c r="D388" s="110"/>
      <c r="E388" s="113"/>
      <c r="F388" s="110"/>
      <c r="G388" s="111"/>
      <c r="H388" s="230" t="s">
        <v>149</v>
      </c>
      <c r="I388" s="194" t="s">
        <v>348</v>
      </c>
      <c r="J388" s="149" t="s">
        <v>265</v>
      </c>
      <c r="K388" s="150"/>
      <c r="L388" s="151"/>
      <c r="M388" s="152" t="s">
        <v>348</v>
      </c>
      <c r="N388" s="149" t="s">
        <v>297</v>
      </c>
      <c r="O388" s="154"/>
      <c r="P388" s="154"/>
      <c r="Q388" s="154"/>
      <c r="R388" s="154"/>
      <c r="S388" s="154"/>
      <c r="T388" s="154"/>
      <c r="U388" s="154"/>
      <c r="V388" s="154"/>
      <c r="W388" s="154"/>
      <c r="X388" s="155"/>
      <c r="Y388" s="147"/>
      <c r="Z388" s="105"/>
      <c r="AA388" s="105"/>
      <c r="AB388" s="106"/>
      <c r="AC388" s="314"/>
      <c r="AD388" s="315"/>
      <c r="AE388" s="315"/>
      <c r="AF388" s="316"/>
      <c r="AI388" s="119" t="str">
        <f>"2B:field190:" &amp; IF(I388="■",1,IF(M388="■",2,0))</f>
        <v>2B:field190:0</v>
      </c>
    </row>
    <row r="389" spans="1:35" ht="18.75" customHeight="1" x14ac:dyDescent="0.15">
      <c r="A389" s="107"/>
      <c r="B389" s="108"/>
      <c r="C389" s="109"/>
      <c r="D389" s="110"/>
      <c r="E389" s="113"/>
      <c r="F389" s="110"/>
      <c r="G389" s="111"/>
      <c r="H389" s="230" t="s">
        <v>150</v>
      </c>
      <c r="I389" s="194" t="s">
        <v>348</v>
      </c>
      <c r="J389" s="149" t="s">
        <v>265</v>
      </c>
      <c r="K389" s="150"/>
      <c r="L389" s="151"/>
      <c r="M389" s="152" t="s">
        <v>348</v>
      </c>
      <c r="N389" s="149" t="s">
        <v>297</v>
      </c>
      <c r="O389" s="154"/>
      <c r="P389" s="154"/>
      <c r="Q389" s="154"/>
      <c r="R389" s="154"/>
      <c r="S389" s="154"/>
      <c r="T389" s="154"/>
      <c r="U389" s="154"/>
      <c r="V389" s="154"/>
      <c r="W389" s="154"/>
      <c r="X389" s="155"/>
      <c r="Y389" s="147"/>
      <c r="Z389" s="105"/>
      <c r="AA389" s="105"/>
      <c r="AB389" s="106"/>
      <c r="AC389" s="314"/>
      <c r="AD389" s="315"/>
      <c r="AE389" s="315"/>
      <c r="AF389" s="316"/>
      <c r="AI389" s="119" t="str">
        <f>"2B:field191:" &amp; IF(I389="■",1,IF(M389="■",2,0))</f>
        <v>2B:field191:0</v>
      </c>
    </row>
    <row r="390" spans="1:35" ht="19.5" customHeight="1" x14ac:dyDescent="0.15">
      <c r="A390" s="128" t="s">
        <v>348</v>
      </c>
      <c r="B390" s="108" t="s">
        <v>436</v>
      </c>
      <c r="C390" s="109" t="s">
        <v>427</v>
      </c>
      <c r="D390" s="128" t="s">
        <v>348</v>
      </c>
      <c r="E390" s="113" t="s">
        <v>440</v>
      </c>
      <c r="F390" s="128" t="s">
        <v>348</v>
      </c>
      <c r="G390" s="111" t="s">
        <v>330</v>
      </c>
      <c r="H390" s="114" t="s">
        <v>455</v>
      </c>
      <c r="I390" s="148" t="s">
        <v>348</v>
      </c>
      <c r="J390" s="115" t="s">
        <v>453</v>
      </c>
      <c r="K390" s="166"/>
      <c r="L390" s="116"/>
      <c r="M390" s="152" t="s">
        <v>348</v>
      </c>
      <c r="N390" s="115" t="s">
        <v>454</v>
      </c>
      <c r="O390" s="236"/>
      <c r="P390" s="115"/>
      <c r="Q390" s="145"/>
      <c r="R390" s="145"/>
      <c r="S390" s="145"/>
      <c r="T390" s="145"/>
      <c r="U390" s="145"/>
      <c r="V390" s="145"/>
      <c r="W390" s="145"/>
      <c r="X390" s="146"/>
      <c r="Y390" s="162"/>
      <c r="Z390" s="104"/>
      <c r="AA390" s="105"/>
      <c r="AB390" s="106"/>
      <c r="AC390" s="314"/>
      <c r="AD390" s="315"/>
      <c r="AE390" s="315"/>
      <c r="AF390" s="316"/>
      <c r="AI390" s="119" t="str">
        <f>"2B:field242:" &amp; IF(I390="■",1,IF(M390="■",2,0))</f>
        <v>2B:field242:0</v>
      </c>
    </row>
    <row r="391" spans="1:35" ht="18.75" customHeight="1" x14ac:dyDescent="0.15">
      <c r="A391" s="110"/>
      <c r="B391" s="108"/>
      <c r="C391" s="109"/>
      <c r="D391" s="110"/>
      <c r="E391" s="113"/>
      <c r="F391" s="110"/>
      <c r="G391" s="111"/>
      <c r="H391" s="230" t="s">
        <v>424</v>
      </c>
      <c r="I391" s="194" t="s">
        <v>348</v>
      </c>
      <c r="J391" s="149" t="s">
        <v>216</v>
      </c>
      <c r="K391" s="150"/>
      <c r="L391" s="152" t="s">
        <v>348</v>
      </c>
      <c r="M391" s="149" t="s">
        <v>232</v>
      </c>
      <c r="N391" s="154"/>
      <c r="O391" s="154"/>
      <c r="P391" s="154"/>
      <c r="Q391" s="154"/>
      <c r="R391" s="154"/>
      <c r="S391" s="154"/>
      <c r="T391" s="154"/>
      <c r="U391" s="154"/>
      <c r="V391" s="154"/>
      <c r="W391" s="154"/>
      <c r="X391" s="155"/>
      <c r="Y391" s="147"/>
      <c r="Z391" s="105"/>
      <c r="AA391" s="105"/>
      <c r="AB391" s="106"/>
      <c r="AC391" s="314"/>
      <c r="AD391" s="315"/>
      <c r="AE391" s="315"/>
      <c r="AF391" s="316"/>
      <c r="AI391" s="119" t="str">
        <f>"2B:jyakuninti_uke_code:" &amp; IF(I391="■",1,IF(L391="■",2,0))</f>
        <v>2B:jyakuninti_uke_code:0</v>
      </c>
    </row>
    <row r="392" spans="1:35" ht="18.75" customHeight="1" x14ac:dyDescent="0.15">
      <c r="A392" s="110"/>
      <c r="B392" s="108"/>
      <c r="C392" s="109"/>
      <c r="D392" s="110"/>
      <c r="E392" s="113"/>
      <c r="F392" s="110"/>
      <c r="G392" s="111"/>
      <c r="H392" s="230" t="s">
        <v>94</v>
      </c>
      <c r="I392" s="194" t="s">
        <v>348</v>
      </c>
      <c r="J392" s="149" t="s">
        <v>230</v>
      </c>
      <c r="K392" s="150"/>
      <c r="L392" s="151"/>
      <c r="M392" s="152" t="s">
        <v>348</v>
      </c>
      <c r="N392" s="149" t="s">
        <v>231</v>
      </c>
      <c r="O392" s="154"/>
      <c r="P392" s="154"/>
      <c r="Q392" s="154"/>
      <c r="R392" s="154"/>
      <c r="S392" s="154"/>
      <c r="T392" s="154"/>
      <c r="U392" s="154"/>
      <c r="V392" s="154"/>
      <c r="W392" s="154"/>
      <c r="X392" s="155"/>
      <c r="Y392" s="147"/>
      <c r="Z392" s="105"/>
      <c r="AA392" s="105"/>
      <c r="AB392" s="106"/>
      <c r="AC392" s="314"/>
      <c r="AD392" s="315"/>
      <c r="AE392" s="315"/>
      <c r="AF392" s="316"/>
      <c r="AI392" s="119" t="str">
        <f>"2B:sougei_code:" &amp; IF(I392="■",1,IF(M392="■",2,0))</f>
        <v>2B:sougei_code:0</v>
      </c>
    </row>
    <row r="393" spans="1:35" ht="19.5" customHeight="1" x14ac:dyDescent="0.15">
      <c r="A393" s="107"/>
      <c r="B393" s="108"/>
      <c r="C393" s="109"/>
      <c r="D393" s="110"/>
      <c r="E393" s="113"/>
      <c r="F393" s="110"/>
      <c r="G393" s="111"/>
      <c r="H393" s="114" t="s">
        <v>372</v>
      </c>
      <c r="I393" s="194" t="s">
        <v>348</v>
      </c>
      <c r="J393" s="149" t="s">
        <v>216</v>
      </c>
      <c r="K393" s="149"/>
      <c r="L393" s="152" t="s">
        <v>348</v>
      </c>
      <c r="M393" s="149" t="s">
        <v>232</v>
      </c>
      <c r="N393" s="149"/>
      <c r="O393" s="154"/>
      <c r="P393" s="149"/>
      <c r="Q393" s="154"/>
      <c r="R393" s="154"/>
      <c r="S393" s="154"/>
      <c r="T393" s="154"/>
      <c r="U393" s="154"/>
      <c r="V393" s="154"/>
      <c r="W393" s="154"/>
      <c r="X393" s="155"/>
      <c r="Y393" s="105"/>
      <c r="Z393" s="105"/>
      <c r="AA393" s="105"/>
      <c r="AB393" s="106"/>
      <c r="AC393" s="314"/>
      <c r="AD393" s="315"/>
      <c r="AE393" s="315"/>
      <c r="AF393" s="316"/>
      <c r="AI393" s="119" t="str">
        <f>"2B:field224:" &amp; IF(I393="■",1,IF(L393="■",2,0))</f>
        <v>2B:field224:0</v>
      </c>
    </row>
    <row r="394" spans="1:35" ht="18.75" customHeight="1" x14ac:dyDescent="0.15">
      <c r="A394" s="107"/>
      <c r="B394" s="108"/>
      <c r="C394" s="109"/>
      <c r="D394" s="110"/>
      <c r="E394" s="113"/>
      <c r="F394" s="110"/>
      <c r="G394" s="111"/>
      <c r="H394" s="230" t="s">
        <v>106</v>
      </c>
      <c r="I394" s="194" t="s">
        <v>348</v>
      </c>
      <c r="J394" s="149" t="s">
        <v>216</v>
      </c>
      <c r="K394" s="150"/>
      <c r="L394" s="152" t="s">
        <v>348</v>
      </c>
      <c r="M394" s="149" t="s">
        <v>232</v>
      </c>
      <c r="N394" s="154"/>
      <c r="O394" s="154"/>
      <c r="P394" s="154"/>
      <c r="Q394" s="154"/>
      <c r="R394" s="154"/>
      <c r="S394" s="154"/>
      <c r="T394" s="154"/>
      <c r="U394" s="154"/>
      <c r="V394" s="154"/>
      <c r="W394" s="154"/>
      <c r="X394" s="155"/>
      <c r="Y394" s="147"/>
      <c r="Z394" s="105"/>
      <c r="AA394" s="105"/>
      <c r="AB394" s="106"/>
      <c r="AC394" s="314"/>
      <c r="AD394" s="315"/>
      <c r="AE394" s="315"/>
      <c r="AF394" s="316"/>
      <c r="AI394" s="119" t="str">
        <f>"2B:ryouyoushoku_code:" &amp; IF(I394="■",1,IF(L394="■",2,0))</f>
        <v>2B:ryouyoushoku_code:0</v>
      </c>
    </row>
    <row r="395" spans="1:35" ht="18.75" customHeight="1" x14ac:dyDescent="0.15">
      <c r="A395" s="107"/>
      <c r="B395" s="108"/>
      <c r="C395" s="109"/>
      <c r="D395" s="110"/>
      <c r="E395" s="113"/>
      <c r="F395" s="110"/>
      <c r="G395" s="111"/>
      <c r="H395" s="230" t="s">
        <v>109</v>
      </c>
      <c r="I395" s="194" t="s">
        <v>348</v>
      </c>
      <c r="J395" s="149" t="s">
        <v>216</v>
      </c>
      <c r="K395" s="149"/>
      <c r="L395" s="152" t="s">
        <v>348</v>
      </c>
      <c r="M395" s="149" t="s">
        <v>217</v>
      </c>
      <c r="N395" s="149"/>
      <c r="O395" s="152" t="s">
        <v>348</v>
      </c>
      <c r="P395" s="149" t="s">
        <v>218</v>
      </c>
      <c r="Q395" s="154"/>
      <c r="R395" s="154"/>
      <c r="S395" s="154"/>
      <c r="T395" s="154"/>
      <c r="U395" s="154"/>
      <c r="V395" s="154"/>
      <c r="W395" s="154"/>
      <c r="X395" s="155"/>
      <c r="Y395" s="147"/>
      <c r="Z395" s="105"/>
      <c r="AA395" s="105"/>
      <c r="AB395" s="106"/>
      <c r="AC395" s="314"/>
      <c r="AD395" s="315"/>
      <c r="AE395" s="315"/>
      <c r="AF395" s="316"/>
      <c r="AI395" s="119" t="str">
        <f>"2B:ninti_senmoncare_code:" &amp; IF(I395="■",1,IF(O395="■",3,IF(L395="■",2,0)))</f>
        <v>2B:ninti_senmoncare_code:0</v>
      </c>
    </row>
    <row r="396" spans="1:35" ht="18.75" customHeight="1" x14ac:dyDescent="0.15">
      <c r="A396" s="110"/>
      <c r="B396" s="108"/>
      <c r="C396" s="109"/>
      <c r="D396" s="110"/>
      <c r="E396" s="113"/>
      <c r="F396" s="110"/>
      <c r="G396" s="111"/>
      <c r="H396" s="240" t="s">
        <v>385</v>
      </c>
      <c r="I396" s="194" t="s">
        <v>348</v>
      </c>
      <c r="J396" s="149" t="s">
        <v>216</v>
      </c>
      <c r="K396" s="149"/>
      <c r="L396" s="152" t="s">
        <v>348</v>
      </c>
      <c r="M396" s="149" t="s">
        <v>217</v>
      </c>
      <c r="N396" s="149"/>
      <c r="O396" s="152" t="s">
        <v>348</v>
      </c>
      <c r="P396" s="149" t="s">
        <v>218</v>
      </c>
      <c r="Q396" s="154"/>
      <c r="R396" s="154"/>
      <c r="S396" s="154"/>
      <c r="T396" s="154"/>
      <c r="U396" s="241"/>
      <c r="V396" s="241"/>
      <c r="W396" s="241"/>
      <c r="X396" s="242"/>
      <c r="Y396" s="147"/>
      <c r="Z396" s="105"/>
      <c r="AA396" s="105"/>
      <c r="AB396" s="106"/>
      <c r="AC396" s="314"/>
      <c r="AD396" s="315"/>
      <c r="AE396" s="315"/>
      <c r="AF396" s="316"/>
      <c r="AI396" s="119" t="str">
        <f>"2B:field225:" &amp; IF(I396="■",1,IF(L396="■",2,IF(O396="■",3,0)))</f>
        <v>2B:field225:0</v>
      </c>
    </row>
    <row r="397" spans="1:35" ht="18.75" customHeight="1" x14ac:dyDescent="0.15">
      <c r="A397" s="107"/>
      <c r="B397" s="108"/>
      <c r="C397" s="109"/>
      <c r="D397" s="110"/>
      <c r="E397" s="113"/>
      <c r="F397" s="110"/>
      <c r="G397" s="111"/>
      <c r="H397" s="230" t="s">
        <v>111</v>
      </c>
      <c r="I397" s="194" t="s">
        <v>348</v>
      </c>
      <c r="J397" s="149" t="s">
        <v>216</v>
      </c>
      <c r="K397" s="149"/>
      <c r="L397" s="152" t="s">
        <v>348</v>
      </c>
      <c r="M397" s="149" t="s">
        <v>224</v>
      </c>
      <c r="N397" s="149"/>
      <c r="O397" s="152" t="s">
        <v>348</v>
      </c>
      <c r="P397" s="149" t="s">
        <v>225</v>
      </c>
      <c r="Q397" s="196"/>
      <c r="R397" s="152" t="s">
        <v>348</v>
      </c>
      <c r="S397" s="149" t="s">
        <v>248</v>
      </c>
      <c r="T397" s="196"/>
      <c r="U397" s="196"/>
      <c r="V397" s="196"/>
      <c r="W397" s="196"/>
      <c r="X397" s="197"/>
      <c r="Y397" s="147"/>
      <c r="Z397" s="105"/>
      <c r="AA397" s="105"/>
      <c r="AB397" s="106"/>
      <c r="AC397" s="314"/>
      <c r="AD397" s="315"/>
      <c r="AE397" s="315"/>
      <c r="AF397" s="316"/>
      <c r="AI397" s="119" t="str">
        <f>"2B:serteikyo_kyoka_code:" &amp; IF(I397="■",1,IF(L397="■",6,IF(O397="■",5,IF(R397="■",7,0))))</f>
        <v>2B:serteikyo_kyoka_code:0</v>
      </c>
    </row>
    <row r="398" spans="1:35" ht="18.75" customHeight="1" x14ac:dyDescent="0.15">
      <c r="A398" s="107"/>
      <c r="B398" s="108"/>
      <c r="C398" s="109"/>
      <c r="D398" s="110"/>
      <c r="E398" s="113"/>
      <c r="F398" s="110"/>
      <c r="G398" s="111"/>
      <c r="H398" s="329" t="s">
        <v>409</v>
      </c>
      <c r="I398" s="360" t="s">
        <v>348</v>
      </c>
      <c r="J398" s="359" t="s">
        <v>216</v>
      </c>
      <c r="K398" s="359"/>
      <c r="L398" s="360" t="s">
        <v>348</v>
      </c>
      <c r="M398" s="359" t="s">
        <v>232</v>
      </c>
      <c r="N398" s="359"/>
      <c r="O398" s="198"/>
      <c r="P398" s="198"/>
      <c r="Q398" s="198"/>
      <c r="R398" s="198"/>
      <c r="S398" s="198"/>
      <c r="T398" s="198"/>
      <c r="U398" s="198"/>
      <c r="V398" s="198"/>
      <c r="W398" s="198"/>
      <c r="X398" s="199"/>
      <c r="Y398" s="147"/>
      <c r="Z398" s="105"/>
      <c r="AA398" s="105"/>
      <c r="AB398" s="106"/>
      <c r="AC398" s="314"/>
      <c r="AD398" s="315"/>
      <c r="AE398" s="315"/>
      <c r="AF398" s="316"/>
      <c r="AI398" s="119" t="str">
        <f>"2B:field221:" &amp; IF(I398="■",1,IF(L398="■",2,0))</f>
        <v>2B:field221:0</v>
      </c>
    </row>
    <row r="399" spans="1:35" ht="18.75" customHeight="1" x14ac:dyDescent="0.15">
      <c r="A399" s="107"/>
      <c r="B399" s="108"/>
      <c r="C399" s="109"/>
      <c r="D399" s="110"/>
      <c r="E399" s="113"/>
      <c r="F399" s="110"/>
      <c r="G399" s="111"/>
      <c r="H399" s="328"/>
      <c r="I399" s="360"/>
      <c r="J399" s="359"/>
      <c r="K399" s="359"/>
      <c r="L399" s="360"/>
      <c r="M399" s="359"/>
      <c r="N399" s="359"/>
      <c r="O399" s="144"/>
      <c r="P399" s="144"/>
      <c r="Q399" s="144"/>
      <c r="R399" s="144"/>
      <c r="S399" s="144"/>
      <c r="T399" s="144"/>
      <c r="U399" s="144"/>
      <c r="V399" s="144"/>
      <c r="W399" s="144"/>
      <c r="X399" s="226"/>
      <c r="Y399" s="147"/>
      <c r="Z399" s="105"/>
      <c r="AA399" s="105"/>
      <c r="AB399" s="106"/>
      <c r="AC399" s="314"/>
      <c r="AD399" s="315"/>
      <c r="AE399" s="315"/>
      <c r="AF399" s="316"/>
    </row>
    <row r="400" spans="1:35" ht="18.75" customHeight="1" x14ac:dyDescent="0.15">
      <c r="A400" s="170"/>
      <c r="B400" s="171"/>
      <c r="C400" s="172"/>
      <c r="D400" s="173"/>
      <c r="E400" s="174"/>
      <c r="F400" s="175"/>
      <c r="G400" s="176"/>
      <c r="H400" s="95" t="s">
        <v>405</v>
      </c>
      <c r="I400" s="177" t="s">
        <v>348</v>
      </c>
      <c r="J400" s="96" t="s">
        <v>216</v>
      </c>
      <c r="K400" s="96"/>
      <c r="L400" s="178" t="s">
        <v>348</v>
      </c>
      <c r="M400" s="96" t="s">
        <v>373</v>
      </c>
      <c r="N400" s="97"/>
      <c r="O400" s="178" t="s">
        <v>348</v>
      </c>
      <c r="P400" s="99" t="s">
        <v>374</v>
      </c>
      <c r="Q400" s="98"/>
      <c r="R400" s="178" t="s">
        <v>348</v>
      </c>
      <c r="S400" s="96" t="s">
        <v>375</v>
      </c>
      <c r="T400" s="98"/>
      <c r="U400" s="178" t="s">
        <v>348</v>
      </c>
      <c r="V400" s="96" t="s">
        <v>376</v>
      </c>
      <c r="W400" s="100"/>
      <c r="X400" s="101"/>
      <c r="Y400" s="179"/>
      <c r="Z400" s="179"/>
      <c r="AA400" s="179"/>
      <c r="AB400" s="180"/>
      <c r="AC400" s="351"/>
      <c r="AD400" s="352"/>
      <c r="AE400" s="352"/>
      <c r="AF400" s="353"/>
      <c r="AG400" s="119"/>
      <c r="AH400" s="119"/>
      <c r="AI400" s="119" t="str">
        <f>"2B:shoguukaizen_code:"&amp;IF(I400="■",1,IF(L400="■",7,IF(O400="■",8,IF(R400="■",9,IF(U400="■","A",0)))))</f>
        <v>2B:shoguukaizen_code:0</v>
      </c>
    </row>
    <row r="401" spans="1:36" ht="18.75" customHeight="1" x14ac:dyDescent="0.15">
      <c r="A401" s="130"/>
      <c r="B401" s="131"/>
      <c r="C401" s="132"/>
      <c r="D401" s="133"/>
      <c r="E401" s="126"/>
      <c r="F401" s="134"/>
      <c r="G401" s="126"/>
      <c r="H401" s="340" t="s">
        <v>96</v>
      </c>
      <c r="I401" s="140" t="s">
        <v>348</v>
      </c>
      <c r="J401" s="124" t="s">
        <v>265</v>
      </c>
      <c r="K401" s="137"/>
      <c r="L401" s="231"/>
      <c r="M401" s="136" t="s">
        <v>348</v>
      </c>
      <c r="N401" s="124" t="s">
        <v>293</v>
      </c>
      <c r="O401" s="232"/>
      <c r="P401" s="232"/>
      <c r="Q401" s="136" t="s">
        <v>348</v>
      </c>
      <c r="R401" s="124" t="s">
        <v>294</v>
      </c>
      <c r="S401" s="232"/>
      <c r="T401" s="232"/>
      <c r="U401" s="136" t="s">
        <v>348</v>
      </c>
      <c r="V401" s="124" t="s">
        <v>295</v>
      </c>
      <c r="W401" s="232"/>
      <c r="X401" s="213"/>
      <c r="Y401" s="136" t="s">
        <v>348</v>
      </c>
      <c r="Z401" s="124" t="s">
        <v>215</v>
      </c>
      <c r="AA401" s="124"/>
      <c r="AB401" s="139"/>
      <c r="AC401" s="311"/>
      <c r="AD401" s="312"/>
      <c r="AE401" s="312"/>
      <c r="AF401" s="313"/>
      <c r="AG401" s="119" t="str">
        <f>"ser_code = '" &amp; IF(A412="■","2B","") &amp; "'"</f>
        <v>ser_code = ''</v>
      </c>
      <c r="AH401" s="119" t="str">
        <f>"2B:jininkbn_code:"&amp;IF(F412="■",1,IF(F413="■",2,0))</f>
        <v>2B:jininkbn_code:0</v>
      </c>
      <c r="AI401" s="119" t="str">
        <f>"2B:yakan_kinmu_code:" &amp; IF(I401="■",1,IF(M401="■",2,IF(Q401="■",3,IF(U401="■",7,IF(I402="■",5,IF(M402="■",6,0))))))</f>
        <v>2B:yakan_kinmu_code:0</v>
      </c>
      <c r="AJ401" s="119" t="str">
        <f>"2B:field203:" &amp; IF(Y401="■",1,IF(Y402="■",2,0))</f>
        <v>2B:field203:0</v>
      </c>
    </row>
    <row r="402" spans="1:36" ht="18.75" customHeight="1" x14ac:dyDescent="0.15">
      <c r="A402" s="107"/>
      <c r="B402" s="108"/>
      <c r="C402" s="109"/>
      <c r="D402" s="110"/>
      <c r="E402" s="111"/>
      <c r="F402" s="112"/>
      <c r="G402" s="111"/>
      <c r="H402" s="371"/>
      <c r="I402" s="128" t="s">
        <v>348</v>
      </c>
      <c r="J402" s="115" t="s">
        <v>296</v>
      </c>
      <c r="K402" s="166"/>
      <c r="L402" s="116"/>
      <c r="M402" s="191" t="s">
        <v>348</v>
      </c>
      <c r="N402" s="115" t="s">
        <v>266</v>
      </c>
      <c r="O402" s="144"/>
      <c r="P402" s="144"/>
      <c r="Q402" s="144"/>
      <c r="R402" s="144"/>
      <c r="S402" s="144"/>
      <c r="T402" s="144"/>
      <c r="U402" s="144"/>
      <c r="V402" s="144"/>
      <c r="W402" s="144"/>
      <c r="X402" s="226"/>
      <c r="Y402" s="123" t="s">
        <v>348</v>
      </c>
      <c r="Z402" s="104" t="s">
        <v>221</v>
      </c>
      <c r="AA402" s="105"/>
      <c r="AB402" s="106"/>
      <c r="AC402" s="314"/>
      <c r="AD402" s="315"/>
      <c r="AE402" s="315"/>
      <c r="AF402" s="316"/>
      <c r="AG402" s="119" t="str">
        <f>"2B:sisetukbn_code:"&amp;IF(D412="■","4",0)</f>
        <v>2B:sisetukbn_code:0</v>
      </c>
      <c r="AH402" s="119"/>
      <c r="AI402" s="119"/>
      <c r="AJ402" s="119"/>
    </row>
    <row r="403" spans="1:36" ht="18.75" customHeight="1" x14ac:dyDescent="0.15">
      <c r="A403" s="107"/>
      <c r="B403" s="108"/>
      <c r="C403" s="109"/>
      <c r="D403" s="110"/>
      <c r="E403" s="111"/>
      <c r="F403" s="112"/>
      <c r="G403" s="111"/>
      <c r="H403" s="370" t="s">
        <v>92</v>
      </c>
      <c r="I403" s="194" t="s">
        <v>348</v>
      </c>
      <c r="J403" s="160" t="s">
        <v>216</v>
      </c>
      <c r="K403" s="160"/>
      <c r="L403" s="205"/>
      <c r="M403" s="195" t="s">
        <v>348</v>
      </c>
      <c r="N403" s="160" t="s">
        <v>254</v>
      </c>
      <c r="O403" s="160"/>
      <c r="P403" s="205"/>
      <c r="Q403" s="195" t="s">
        <v>348</v>
      </c>
      <c r="R403" s="198" t="s">
        <v>337</v>
      </c>
      <c r="S403" s="198"/>
      <c r="T403" s="198"/>
      <c r="U403" s="241"/>
      <c r="V403" s="205"/>
      <c r="W403" s="198"/>
      <c r="X403" s="242"/>
      <c r="Y403" s="147"/>
      <c r="Z403" s="105"/>
      <c r="AA403" s="105"/>
      <c r="AB403" s="106"/>
      <c r="AC403" s="314"/>
      <c r="AD403" s="315"/>
      <c r="AE403" s="315"/>
      <c r="AF403" s="316"/>
      <c r="AI403" s="119" t="str">
        <f>"2B:"&amp;IF(AND(I403="□",M403="□",Q403="□",I404="□",M404="□"),"ketu_doctor_code:0",IF(I403="■","ketu_doctor_code:1:field197:1:ketu_kangos_code:1:ketu_kshoku_code:1",IF(M403="■","ketu_doctor_code:2","ketu_doctor_code:1")
&amp;IF(Q403="■",":field197:2",":field197:1")
&amp;IF(I404="■",":ketu_kangos_code:2",":ketu_kangos_code:1")
&amp;IF(M404="■",":ketu_kshoku_code:2",":ketu_kshoku_code:1")))</f>
        <v>2B:ketu_doctor_code:0</v>
      </c>
    </row>
    <row r="404" spans="1:36" ht="18.75" customHeight="1" x14ac:dyDescent="0.15">
      <c r="A404" s="107"/>
      <c r="B404" s="108"/>
      <c r="C404" s="109"/>
      <c r="D404" s="110"/>
      <c r="E404" s="111"/>
      <c r="F404" s="112"/>
      <c r="G404" s="111"/>
      <c r="H404" s="371"/>
      <c r="I404" s="128" t="s">
        <v>348</v>
      </c>
      <c r="J404" s="144" t="s">
        <v>338</v>
      </c>
      <c r="K404" s="144"/>
      <c r="L404" s="144"/>
      <c r="M404" s="191" t="s">
        <v>348</v>
      </c>
      <c r="N404" s="144" t="s">
        <v>339</v>
      </c>
      <c r="O404" s="116"/>
      <c r="P404" s="144"/>
      <c r="Q404" s="144"/>
      <c r="R404" s="116"/>
      <c r="S404" s="144"/>
      <c r="T404" s="144"/>
      <c r="U404" s="145"/>
      <c r="V404" s="116"/>
      <c r="W404" s="144"/>
      <c r="X404" s="146"/>
      <c r="Y404" s="147"/>
      <c r="Z404" s="105"/>
      <c r="AA404" s="105"/>
      <c r="AB404" s="106"/>
      <c r="AC404" s="314"/>
      <c r="AD404" s="315"/>
      <c r="AE404" s="315"/>
      <c r="AF404" s="316"/>
      <c r="AI404" s="119"/>
    </row>
    <row r="405" spans="1:36" ht="18.75" customHeight="1" x14ac:dyDescent="0.15">
      <c r="A405" s="107"/>
      <c r="B405" s="108"/>
      <c r="C405" s="109"/>
      <c r="D405" s="110"/>
      <c r="E405" s="111"/>
      <c r="F405" s="112"/>
      <c r="G405" s="111"/>
      <c r="H405" s="230" t="s">
        <v>97</v>
      </c>
      <c r="I405" s="194" t="s">
        <v>348</v>
      </c>
      <c r="J405" s="149" t="s">
        <v>230</v>
      </c>
      <c r="K405" s="150"/>
      <c r="L405" s="151"/>
      <c r="M405" s="152" t="s">
        <v>348</v>
      </c>
      <c r="N405" s="149" t="s">
        <v>231</v>
      </c>
      <c r="O405" s="154"/>
      <c r="P405" s="154"/>
      <c r="Q405" s="154"/>
      <c r="R405" s="154"/>
      <c r="S405" s="154"/>
      <c r="T405" s="154"/>
      <c r="U405" s="154"/>
      <c r="V405" s="154"/>
      <c r="W405" s="154"/>
      <c r="X405" s="155"/>
      <c r="Y405" s="147"/>
      <c r="Z405" s="105"/>
      <c r="AA405" s="105"/>
      <c r="AB405" s="106"/>
      <c r="AC405" s="314"/>
      <c r="AD405" s="315"/>
      <c r="AE405" s="315"/>
      <c r="AF405" s="316"/>
      <c r="AI405" s="119" t="str">
        <f>"2B:unitcare_code:" &amp; IF(I405="■",1,IF(M405="■",2,0))</f>
        <v>2B:unitcare_code:0</v>
      </c>
    </row>
    <row r="406" spans="1:36" s="119" customFormat="1" ht="18.75" customHeight="1" x14ac:dyDescent="0.15">
      <c r="A406" s="107"/>
      <c r="B406" s="108"/>
      <c r="C406" s="238"/>
      <c r="D406" s="239"/>
      <c r="E406" s="111"/>
      <c r="F406" s="112"/>
      <c r="G406" s="113"/>
      <c r="H406" s="230" t="s">
        <v>103</v>
      </c>
      <c r="I406" s="148" t="s">
        <v>348</v>
      </c>
      <c r="J406" s="149" t="s">
        <v>360</v>
      </c>
      <c r="K406" s="150"/>
      <c r="L406" s="151"/>
      <c r="M406" s="152" t="s">
        <v>348</v>
      </c>
      <c r="N406" s="149" t="s">
        <v>361</v>
      </c>
      <c r="O406" s="150"/>
      <c r="P406" s="150"/>
      <c r="Q406" s="150"/>
      <c r="R406" s="150"/>
      <c r="S406" s="150"/>
      <c r="T406" s="150"/>
      <c r="U406" s="150"/>
      <c r="V406" s="150"/>
      <c r="W406" s="150"/>
      <c r="X406" s="159"/>
      <c r="Y406" s="147"/>
      <c r="Z406" s="105"/>
      <c r="AA406" s="105"/>
      <c r="AB406" s="106"/>
      <c r="AC406" s="314"/>
      <c r="AD406" s="315"/>
      <c r="AE406" s="315"/>
      <c r="AF406" s="316"/>
      <c r="AI406" s="119" t="str">
        <f>"2B:sintaikousoku_code:" &amp; IF(I406="■",1,IF(M406="■",2,0))</f>
        <v>2B:sintaikousoku_code:0</v>
      </c>
    </row>
    <row r="407" spans="1:36" ht="19.5" customHeight="1" x14ac:dyDescent="0.15">
      <c r="A407" s="107"/>
      <c r="B407" s="108"/>
      <c r="C407" s="109"/>
      <c r="D407" s="110"/>
      <c r="E407" s="111"/>
      <c r="F407" s="112"/>
      <c r="G407" s="113"/>
      <c r="H407" s="114" t="s">
        <v>369</v>
      </c>
      <c r="I407" s="194" t="s">
        <v>348</v>
      </c>
      <c r="J407" s="149" t="s">
        <v>360</v>
      </c>
      <c r="K407" s="150"/>
      <c r="L407" s="151"/>
      <c r="M407" s="152" t="s">
        <v>348</v>
      </c>
      <c r="N407" s="149" t="s">
        <v>370</v>
      </c>
      <c r="O407" s="154"/>
      <c r="P407" s="149"/>
      <c r="Q407" s="154"/>
      <c r="R407" s="154"/>
      <c r="S407" s="154"/>
      <c r="T407" s="154"/>
      <c r="U407" s="154"/>
      <c r="V407" s="154"/>
      <c r="W407" s="154"/>
      <c r="X407" s="155"/>
      <c r="Y407" s="105"/>
      <c r="Z407" s="105"/>
      <c r="AA407" s="105"/>
      <c r="AB407" s="106"/>
      <c r="AC407" s="314"/>
      <c r="AD407" s="315"/>
      <c r="AE407" s="315"/>
      <c r="AF407" s="316"/>
      <c r="AI407" s="119" t="str">
        <f>"2B:field223:" &amp; IF(I407="■",1,IF(M407="■",2,0))</f>
        <v>2B:field223:0</v>
      </c>
    </row>
    <row r="408" spans="1:36" ht="19.5" customHeight="1" x14ac:dyDescent="0.15">
      <c r="A408" s="107"/>
      <c r="B408" s="108"/>
      <c r="C408" s="109"/>
      <c r="D408" s="110"/>
      <c r="E408" s="111"/>
      <c r="F408" s="112"/>
      <c r="G408" s="113"/>
      <c r="H408" s="114" t="s">
        <v>390</v>
      </c>
      <c r="I408" s="194" t="s">
        <v>348</v>
      </c>
      <c r="J408" s="149" t="s">
        <v>360</v>
      </c>
      <c r="K408" s="150"/>
      <c r="L408" s="151"/>
      <c r="M408" s="152" t="s">
        <v>348</v>
      </c>
      <c r="N408" s="149" t="s">
        <v>370</v>
      </c>
      <c r="O408" s="154"/>
      <c r="P408" s="149"/>
      <c r="Q408" s="154"/>
      <c r="R408" s="154"/>
      <c r="S408" s="154"/>
      <c r="T408" s="154"/>
      <c r="U408" s="154"/>
      <c r="V408" s="154"/>
      <c r="W408" s="154"/>
      <c r="X408" s="155"/>
      <c r="Y408" s="105"/>
      <c r="Z408" s="105"/>
      <c r="AA408" s="105"/>
      <c r="AB408" s="106"/>
      <c r="AC408" s="314"/>
      <c r="AD408" s="315"/>
      <c r="AE408" s="315"/>
      <c r="AF408" s="316"/>
      <c r="AI408" s="119" t="str">
        <f>"2B:field232:" &amp; IF(I408="■",1,IF(M408="■",2,0))</f>
        <v>2B:field232:0</v>
      </c>
    </row>
    <row r="409" spans="1:36" ht="18.75" customHeight="1" x14ac:dyDescent="0.15">
      <c r="A409" s="107"/>
      <c r="B409" s="108"/>
      <c r="C409" s="109"/>
      <c r="D409" s="110"/>
      <c r="E409" s="111"/>
      <c r="F409" s="112"/>
      <c r="G409" s="111"/>
      <c r="H409" s="230" t="s">
        <v>149</v>
      </c>
      <c r="I409" s="194" t="s">
        <v>348</v>
      </c>
      <c r="J409" s="149" t="s">
        <v>265</v>
      </c>
      <c r="K409" s="150"/>
      <c r="L409" s="151"/>
      <c r="M409" s="152" t="s">
        <v>348</v>
      </c>
      <c r="N409" s="149" t="s">
        <v>297</v>
      </c>
      <c r="O409" s="154"/>
      <c r="P409" s="154"/>
      <c r="Q409" s="154"/>
      <c r="R409" s="154"/>
      <c r="S409" s="154"/>
      <c r="T409" s="154"/>
      <c r="U409" s="154"/>
      <c r="V409" s="154"/>
      <c r="W409" s="154"/>
      <c r="X409" s="155"/>
      <c r="Y409" s="147"/>
      <c r="Z409" s="105"/>
      <c r="AA409" s="105"/>
      <c r="AB409" s="106"/>
      <c r="AC409" s="314"/>
      <c r="AD409" s="315"/>
      <c r="AE409" s="315"/>
      <c r="AF409" s="316"/>
      <c r="AI409" s="119" t="str">
        <f>"2B:field190:" &amp; IF(I409="■",1,IF(M409="■",2,0))</f>
        <v>2B:field190:0</v>
      </c>
    </row>
    <row r="410" spans="1:36" ht="18.75" customHeight="1" x14ac:dyDescent="0.15">
      <c r="A410" s="107"/>
      <c r="B410" s="108"/>
      <c r="C410" s="109"/>
      <c r="D410" s="110"/>
      <c r="E410" s="111"/>
      <c r="F410" s="112"/>
      <c r="G410" s="111"/>
      <c r="H410" s="230" t="s">
        <v>150</v>
      </c>
      <c r="I410" s="194" t="s">
        <v>348</v>
      </c>
      <c r="J410" s="149" t="s">
        <v>265</v>
      </c>
      <c r="K410" s="150"/>
      <c r="L410" s="151"/>
      <c r="M410" s="152" t="s">
        <v>348</v>
      </c>
      <c r="N410" s="149" t="s">
        <v>297</v>
      </c>
      <c r="O410" s="154"/>
      <c r="P410" s="154"/>
      <c r="Q410" s="154"/>
      <c r="R410" s="154"/>
      <c r="S410" s="154"/>
      <c r="T410" s="154"/>
      <c r="U410" s="154"/>
      <c r="V410" s="154"/>
      <c r="W410" s="154"/>
      <c r="X410" s="155"/>
      <c r="Y410" s="147"/>
      <c r="Z410" s="105"/>
      <c r="AA410" s="105"/>
      <c r="AB410" s="106"/>
      <c r="AC410" s="314"/>
      <c r="AD410" s="315"/>
      <c r="AE410" s="315"/>
      <c r="AF410" s="316"/>
      <c r="AI410" s="119" t="str">
        <f>"2B:field191:" &amp; IF(I410="■",1,IF(M410="■",2,0))</f>
        <v>2B:field191:0</v>
      </c>
    </row>
    <row r="411" spans="1:36" ht="18.75" customHeight="1" x14ac:dyDescent="0.15">
      <c r="A411" s="107"/>
      <c r="B411" s="108"/>
      <c r="C411" s="109"/>
      <c r="D411" s="110"/>
      <c r="E411" s="111"/>
      <c r="F411" s="112"/>
      <c r="G411" s="111"/>
      <c r="H411" s="230" t="s">
        <v>424</v>
      </c>
      <c r="I411" s="194" t="s">
        <v>348</v>
      </c>
      <c r="J411" s="149" t="s">
        <v>216</v>
      </c>
      <c r="K411" s="150"/>
      <c r="L411" s="152" t="s">
        <v>348</v>
      </c>
      <c r="M411" s="149" t="s">
        <v>232</v>
      </c>
      <c r="N411" s="154"/>
      <c r="O411" s="154"/>
      <c r="P411" s="154"/>
      <c r="Q411" s="154"/>
      <c r="R411" s="154"/>
      <c r="S411" s="154"/>
      <c r="T411" s="154"/>
      <c r="U411" s="154"/>
      <c r="V411" s="154"/>
      <c r="W411" s="154"/>
      <c r="X411" s="155"/>
      <c r="Y411" s="147"/>
      <c r="Z411" s="105"/>
      <c r="AA411" s="105"/>
      <c r="AB411" s="106"/>
      <c r="AC411" s="314"/>
      <c r="AD411" s="315"/>
      <c r="AE411" s="315"/>
      <c r="AF411" s="316"/>
      <c r="AI411" s="119" t="str">
        <f>"2B:jyakuninti_uke_code:" &amp; IF(I411="■",1,IF(L411="■",2,0))</f>
        <v>2B:jyakuninti_uke_code:0</v>
      </c>
    </row>
    <row r="412" spans="1:36" ht="18.75" customHeight="1" x14ac:dyDescent="0.15">
      <c r="A412" s="128" t="s">
        <v>348</v>
      </c>
      <c r="B412" s="108" t="s">
        <v>436</v>
      </c>
      <c r="C412" s="109" t="s">
        <v>427</v>
      </c>
      <c r="D412" s="128" t="s">
        <v>348</v>
      </c>
      <c r="E412" s="111" t="s">
        <v>441</v>
      </c>
      <c r="F412" s="128" t="s">
        <v>348</v>
      </c>
      <c r="G412" s="111" t="s">
        <v>333</v>
      </c>
      <c r="H412" s="230" t="s">
        <v>94</v>
      </c>
      <c r="I412" s="194" t="s">
        <v>348</v>
      </c>
      <c r="J412" s="149" t="s">
        <v>230</v>
      </c>
      <c r="K412" s="150"/>
      <c r="L412" s="151"/>
      <c r="M412" s="152" t="s">
        <v>348</v>
      </c>
      <c r="N412" s="149" t="s">
        <v>231</v>
      </c>
      <c r="O412" s="154"/>
      <c r="P412" s="154"/>
      <c r="Q412" s="154"/>
      <c r="R412" s="154"/>
      <c r="S412" s="154"/>
      <c r="T412" s="154"/>
      <c r="U412" s="154"/>
      <c r="V412" s="154"/>
      <c r="W412" s="154"/>
      <c r="X412" s="155"/>
      <c r="Y412" s="147"/>
      <c r="Z412" s="105"/>
      <c r="AA412" s="105"/>
      <c r="AB412" s="106"/>
      <c r="AC412" s="314"/>
      <c r="AD412" s="315"/>
      <c r="AE412" s="315"/>
      <c r="AF412" s="316"/>
      <c r="AI412" s="119" t="str">
        <f>"2B:sougei_code:" &amp; IF(I412="■",1,IF(M412="■",2,0))</f>
        <v>2B:sougei_code:0</v>
      </c>
    </row>
    <row r="413" spans="1:36" ht="19.5" customHeight="1" x14ac:dyDescent="0.15">
      <c r="A413" s="107"/>
      <c r="B413" s="108"/>
      <c r="C413" s="109"/>
      <c r="D413" s="110"/>
      <c r="E413" s="111"/>
      <c r="F413" s="128" t="s">
        <v>348</v>
      </c>
      <c r="G413" s="111" t="s">
        <v>334</v>
      </c>
      <c r="H413" s="114" t="s">
        <v>372</v>
      </c>
      <c r="I413" s="194" t="s">
        <v>348</v>
      </c>
      <c r="J413" s="149" t="s">
        <v>216</v>
      </c>
      <c r="K413" s="149"/>
      <c r="L413" s="152" t="s">
        <v>348</v>
      </c>
      <c r="M413" s="149" t="s">
        <v>232</v>
      </c>
      <c r="N413" s="149"/>
      <c r="O413" s="154"/>
      <c r="P413" s="149"/>
      <c r="Q413" s="154"/>
      <c r="R413" s="154"/>
      <c r="S413" s="154"/>
      <c r="T413" s="154"/>
      <c r="U413" s="154"/>
      <c r="V413" s="154"/>
      <c r="W413" s="154"/>
      <c r="X413" s="155"/>
      <c r="Y413" s="105"/>
      <c r="Z413" s="105"/>
      <c r="AA413" s="105"/>
      <c r="AB413" s="106"/>
      <c r="AC413" s="314"/>
      <c r="AD413" s="315"/>
      <c r="AE413" s="315"/>
      <c r="AF413" s="316"/>
      <c r="AI413" s="119" t="str">
        <f>"2B:field224:" &amp; IF(I413="■",1,IF(L413="■",2,0))</f>
        <v>2B:field224:0</v>
      </c>
    </row>
    <row r="414" spans="1:36" ht="18.75" customHeight="1" x14ac:dyDescent="0.15">
      <c r="A414" s="107"/>
      <c r="B414" s="108"/>
      <c r="C414" s="109"/>
      <c r="D414" s="110"/>
      <c r="E414" s="111"/>
      <c r="F414" s="112"/>
      <c r="G414" s="111"/>
      <c r="H414" s="230" t="s">
        <v>106</v>
      </c>
      <c r="I414" s="194" t="s">
        <v>348</v>
      </c>
      <c r="J414" s="149" t="s">
        <v>216</v>
      </c>
      <c r="K414" s="150"/>
      <c r="L414" s="152" t="s">
        <v>348</v>
      </c>
      <c r="M414" s="149" t="s">
        <v>232</v>
      </c>
      <c r="N414" s="154"/>
      <c r="O414" s="154"/>
      <c r="P414" s="154"/>
      <c r="Q414" s="154"/>
      <c r="R414" s="154"/>
      <c r="S414" s="154"/>
      <c r="T414" s="154"/>
      <c r="U414" s="154"/>
      <c r="V414" s="154"/>
      <c r="W414" s="154"/>
      <c r="X414" s="155"/>
      <c r="Y414" s="147"/>
      <c r="Z414" s="105"/>
      <c r="AA414" s="105"/>
      <c r="AB414" s="106"/>
      <c r="AC414" s="314"/>
      <c r="AD414" s="315"/>
      <c r="AE414" s="315"/>
      <c r="AF414" s="316"/>
      <c r="AI414" s="119" t="str">
        <f>"2B:ryouyoushoku_code:" &amp; IF(I414="■",1,IF(L414="■",2,0))</f>
        <v>2B:ryouyoushoku_code:0</v>
      </c>
    </row>
    <row r="415" spans="1:36" ht="18.75" customHeight="1" x14ac:dyDescent="0.15">
      <c r="A415" s="107"/>
      <c r="B415" s="108"/>
      <c r="C415" s="109"/>
      <c r="D415" s="110"/>
      <c r="E415" s="111"/>
      <c r="F415" s="112"/>
      <c r="G415" s="111"/>
      <c r="H415" s="230" t="s">
        <v>109</v>
      </c>
      <c r="I415" s="194" t="s">
        <v>348</v>
      </c>
      <c r="J415" s="149" t="s">
        <v>216</v>
      </c>
      <c r="K415" s="149"/>
      <c r="L415" s="152" t="s">
        <v>348</v>
      </c>
      <c r="M415" s="149" t="s">
        <v>217</v>
      </c>
      <c r="N415" s="149"/>
      <c r="O415" s="152" t="s">
        <v>348</v>
      </c>
      <c r="P415" s="149" t="s">
        <v>218</v>
      </c>
      <c r="Q415" s="154"/>
      <c r="R415" s="154"/>
      <c r="S415" s="154"/>
      <c r="T415" s="154"/>
      <c r="U415" s="154"/>
      <c r="V415" s="154"/>
      <c r="W415" s="154"/>
      <c r="X415" s="155"/>
      <c r="Y415" s="147"/>
      <c r="Z415" s="105"/>
      <c r="AA415" s="105"/>
      <c r="AB415" s="106"/>
      <c r="AC415" s="314"/>
      <c r="AD415" s="315"/>
      <c r="AE415" s="315"/>
      <c r="AF415" s="316"/>
      <c r="AI415" s="119" t="str">
        <f>"2B:ninti_senmoncare_code:" &amp; IF(I415="■",1,IF(O415="■",3,IF(L415="■",2,0)))</f>
        <v>2B:ninti_senmoncare_code:0</v>
      </c>
    </row>
    <row r="416" spans="1:36" ht="18.75" customHeight="1" x14ac:dyDescent="0.15">
      <c r="A416" s="107"/>
      <c r="B416" s="108"/>
      <c r="C416" s="109"/>
      <c r="D416" s="110"/>
      <c r="E416" s="111"/>
      <c r="F416" s="112"/>
      <c r="G416" s="111"/>
      <c r="H416" s="370" t="s">
        <v>136</v>
      </c>
      <c r="I416" s="194" t="s">
        <v>348</v>
      </c>
      <c r="J416" s="160" t="s">
        <v>285</v>
      </c>
      <c r="K416" s="160"/>
      <c r="L416" s="241"/>
      <c r="M416" s="241"/>
      <c r="N416" s="241"/>
      <c r="O416" s="241"/>
      <c r="P416" s="195" t="s">
        <v>348</v>
      </c>
      <c r="Q416" s="160" t="s">
        <v>286</v>
      </c>
      <c r="R416" s="241"/>
      <c r="S416" s="241"/>
      <c r="T416" s="241"/>
      <c r="U416" s="241"/>
      <c r="V416" s="241"/>
      <c r="W416" s="241"/>
      <c r="X416" s="242"/>
      <c r="Y416" s="147"/>
      <c r="Z416" s="105"/>
      <c r="AA416" s="105"/>
      <c r="AB416" s="106"/>
      <c r="AC416" s="314"/>
      <c r="AD416" s="315"/>
      <c r="AE416" s="315"/>
      <c r="AF416" s="316"/>
      <c r="AI416" s="119" t="str">
        <f>"2B:" &amp; IF(AND(I416="□",P416="□",I417="□"),"tokusin_jyusho_code:0:tokusin_yakuzai_code:0:shuudan_comu_code:0",IF(I416="■","tokusin_jyusho_code:2","tokusin_jyusho_code:1")
&amp;IF(P416="■",":tokusin_yakuzai_code:2",":tokusin_yakuzai_code:1")
&amp;IF(I417="■",":shuudan_comu_code:2",":shuudan_comu_code:1"))</f>
        <v>2B:tokusin_jyusho_code:0:tokusin_yakuzai_code:0:shuudan_comu_code:0</v>
      </c>
    </row>
    <row r="417" spans="1:36" ht="18.75" customHeight="1" x14ac:dyDescent="0.15">
      <c r="A417" s="107"/>
      <c r="B417" s="108"/>
      <c r="C417" s="109"/>
      <c r="D417" s="110"/>
      <c r="E417" s="111"/>
      <c r="F417" s="112"/>
      <c r="G417" s="111"/>
      <c r="H417" s="371"/>
      <c r="I417" s="128" t="s">
        <v>348</v>
      </c>
      <c r="J417" s="115" t="s">
        <v>299</v>
      </c>
      <c r="K417" s="145"/>
      <c r="L417" s="145"/>
      <c r="M417" s="145"/>
      <c r="N417" s="145"/>
      <c r="O417" s="145"/>
      <c r="P417" s="145"/>
      <c r="Q417" s="144"/>
      <c r="R417" s="145"/>
      <c r="S417" s="145"/>
      <c r="T417" s="145"/>
      <c r="U417" s="145"/>
      <c r="V417" s="145"/>
      <c r="W417" s="145"/>
      <c r="X417" s="146"/>
      <c r="Y417" s="147"/>
      <c r="Z417" s="105"/>
      <c r="AA417" s="105"/>
      <c r="AB417" s="106"/>
      <c r="AC417" s="314"/>
      <c r="AD417" s="315"/>
      <c r="AE417" s="315"/>
      <c r="AF417" s="316"/>
      <c r="AI417" s="119"/>
    </row>
    <row r="418" spans="1:36" ht="18.75" customHeight="1" x14ac:dyDescent="0.15">
      <c r="A418" s="107"/>
      <c r="B418" s="108"/>
      <c r="C418" s="109"/>
      <c r="D418" s="110"/>
      <c r="E418" s="111"/>
      <c r="F418" s="112"/>
      <c r="G418" s="111"/>
      <c r="H418" s="370" t="s">
        <v>102</v>
      </c>
      <c r="I418" s="194" t="s">
        <v>348</v>
      </c>
      <c r="J418" s="160" t="s">
        <v>300</v>
      </c>
      <c r="K418" s="168"/>
      <c r="L418" s="205"/>
      <c r="M418" s="195" t="s">
        <v>348</v>
      </c>
      <c r="N418" s="160" t="s">
        <v>301</v>
      </c>
      <c r="O418" s="241"/>
      <c r="P418" s="241"/>
      <c r="Q418" s="195" t="s">
        <v>348</v>
      </c>
      <c r="R418" s="160" t="s">
        <v>302</v>
      </c>
      <c r="S418" s="241"/>
      <c r="T418" s="241"/>
      <c r="U418" s="241"/>
      <c r="V418" s="241"/>
      <c r="W418" s="241"/>
      <c r="X418" s="242"/>
      <c r="Y418" s="147"/>
      <c r="Z418" s="105"/>
      <c r="AA418" s="105"/>
      <c r="AB418" s="106"/>
      <c r="AC418" s="314"/>
      <c r="AD418" s="315"/>
      <c r="AE418" s="315"/>
      <c r="AF418" s="316"/>
      <c r="AI418" s="119" t="str">
        <f>"2B:"&amp;IF(AND(I418="□",M418="□",Q418="□",I419="□",Q419="□"),"koriha_rryoho1_code:0:koriha_sryoho_code:0:koriha_gengo_code:0:riha_seisin_code:0:koriha_other_code:0",IF(I418="■","koriha_rryoho1_code:2","koriha_rryoho1_code:1")
&amp;IF(M418="■",":koriha_sryoho_code:2",":koriha_sryoho_code:1")
&amp;IF(Q418="■",":koriha_gengo_code:2",":koriha_gengo_code:1")
&amp;IF(I419="■",":riha_seisin_code:2",":riha_seisin_code:1")
&amp;IF(Q419="■",":koriha_other_code:2",":koriha_other_code:1"))</f>
        <v>2B:koriha_rryoho1_code:0:koriha_sryoho_code:0:koriha_gengo_code:0:riha_seisin_code:0:koriha_other_code:0</v>
      </c>
    </row>
    <row r="419" spans="1:36" ht="18.75" customHeight="1" x14ac:dyDescent="0.15">
      <c r="A419" s="107"/>
      <c r="B419" s="108"/>
      <c r="C419" s="109"/>
      <c r="D419" s="110"/>
      <c r="E419" s="111"/>
      <c r="F419" s="112"/>
      <c r="G419" s="111"/>
      <c r="H419" s="371"/>
      <c r="I419" s="128" t="s">
        <v>348</v>
      </c>
      <c r="J419" s="115" t="s">
        <v>303</v>
      </c>
      <c r="K419" s="145"/>
      <c r="L419" s="145"/>
      <c r="M419" s="145"/>
      <c r="N419" s="145"/>
      <c r="O419" s="145"/>
      <c r="P419" s="145"/>
      <c r="Q419" s="191" t="s">
        <v>348</v>
      </c>
      <c r="R419" s="115" t="s">
        <v>304</v>
      </c>
      <c r="S419" s="144"/>
      <c r="T419" s="145"/>
      <c r="U419" s="145"/>
      <c r="V419" s="145"/>
      <c r="W419" s="145"/>
      <c r="X419" s="146"/>
      <c r="Y419" s="147"/>
      <c r="Z419" s="105"/>
      <c r="AA419" s="105"/>
      <c r="AB419" s="106"/>
      <c r="AC419" s="314"/>
      <c r="AD419" s="315"/>
      <c r="AE419" s="315"/>
      <c r="AF419" s="316"/>
      <c r="AI419" s="119"/>
    </row>
    <row r="420" spans="1:36" ht="18.75" customHeight="1" x14ac:dyDescent="0.15">
      <c r="A420" s="107"/>
      <c r="B420" s="108"/>
      <c r="C420" s="109"/>
      <c r="D420" s="110"/>
      <c r="E420" s="111"/>
      <c r="F420" s="112"/>
      <c r="G420" s="111"/>
      <c r="H420" s="240" t="s">
        <v>385</v>
      </c>
      <c r="I420" s="194" t="s">
        <v>348</v>
      </c>
      <c r="J420" s="149" t="s">
        <v>216</v>
      </c>
      <c r="K420" s="149"/>
      <c r="L420" s="152" t="s">
        <v>348</v>
      </c>
      <c r="M420" s="149" t="s">
        <v>217</v>
      </c>
      <c r="N420" s="149"/>
      <c r="O420" s="152" t="s">
        <v>348</v>
      </c>
      <c r="P420" s="149" t="s">
        <v>218</v>
      </c>
      <c r="Q420" s="154"/>
      <c r="R420" s="154"/>
      <c r="S420" s="154"/>
      <c r="T420" s="154"/>
      <c r="U420" s="241"/>
      <c r="V420" s="241"/>
      <c r="W420" s="241"/>
      <c r="X420" s="242"/>
      <c r="Y420" s="147"/>
      <c r="Z420" s="105"/>
      <c r="AA420" s="105"/>
      <c r="AB420" s="106"/>
      <c r="AC420" s="314"/>
      <c r="AD420" s="315"/>
      <c r="AE420" s="315"/>
      <c r="AF420" s="316"/>
      <c r="AI420" s="119" t="str">
        <f>"2B:field225:" &amp; IF(I420="■",1,IF(L420="■",2,IF(O420="■",3,0)))</f>
        <v>2B:field225:0</v>
      </c>
    </row>
    <row r="421" spans="1:36" ht="18.75" customHeight="1" x14ac:dyDescent="0.15">
      <c r="A421" s="107"/>
      <c r="B421" s="108"/>
      <c r="C421" s="109"/>
      <c r="D421" s="110"/>
      <c r="E421" s="111"/>
      <c r="F421" s="112"/>
      <c r="G421" s="111"/>
      <c r="H421" s="230" t="s">
        <v>111</v>
      </c>
      <c r="I421" s="194" t="s">
        <v>348</v>
      </c>
      <c r="J421" s="149" t="s">
        <v>216</v>
      </c>
      <c r="K421" s="149"/>
      <c r="L421" s="152" t="s">
        <v>348</v>
      </c>
      <c r="M421" s="149" t="s">
        <v>224</v>
      </c>
      <c r="N421" s="149"/>
      <c r="O421" s="152" t="s">
        <v>348</v>
      </c>
      <c r="P421" s="149" t="s">
        <v>225</v>
      </c>
      <c r="Q421" s="196"/>
      <c r="R421" s="152" t="s">
        <v>348</v>
      </c>
      <c r="S421" s="149" t="s">
        <v>248</v>
      </c>
      <c r="T421" s="196"/>
      <c r="U421" s="196"/>
      <c r="V421" s="196"/>
      <c r="W421" s="196"/>
      <c r="X421" s="197"/>
      <c r="Y421" s="147"/>
      <c r="Z421" s="105"/>
      <c r="AA421" s="105"/>
      <c r="AB421" s="106"/>
      <c r="AC421" s="314"/>
      <c r="AD421" s="315"/>
      <c r="AE421" s="315"/>
      <c r="AF421" s="316"/>
      <c r="AI421" s="119" t="str">
        <f>"2B:serteikyo_kyoka_code:" &amp; IF(I421="■",1,IF(L421="■",6,IF(O421="■",5,IF(R421="■",7,0))))</f>
        <v>2B:serteikyo_kyoka_code:0</v>
      </c>
    </row>
    <row r="422" spans="1:36" ht="18.75" customHeight="1" x14ac:dyDescent="0.15">
      <c r="A422" s="107"/>
      <c r="B422" s="108"/>
      <c r="C422" s="109"/>
      <c r="D422" s="110"/>
      <c r="E422" s="111"/>
      <c r="F422" s="112"/>
      <c r="G422" s="111"/>
      <c r="H422" s="329" t="s">
        <v>409</v>
      </c>
      <c r="I422" s="360" t="s">
        <v>348</v>
      </c>
      <c r="J422" s="359" t="s">
        <v>216</v>
      </c>
      <c r="K422" s="359"/>
      <c r="L422" s="360" t="s">
        <v>348</v>
      </c>
      <c r="M422" s="359" t="s">
        <v>232</v>
      </c>
      <c r="N422" s="359"/>
      <c r="O422" s="198"/>
      <c r="P422" s="198"/>
      <c r="Q422" s="198"/>
      <c r="R422" s="198"/>
      <c r="S422" s="198"/>
      <c r="T422" s="198"/>
      <c r="U422" s="198"/>
      <c r="V422" s="198"/>
      <c r="W422" s="198"/>
      <c r="X422" s="199"/>
      <c r="Y422" s="147"/>
      <c r="Z422" s="105"/>
      <c r="AA422" s="105"/>
      <c r="AB422" s="106"/>
      <c r="AC422" s="314"/>
      <c r="AD422" s="315"/>
      <c r="AE422" s="315"/>
      <c r="AF422" s="316"/>
      <c r="AI422" s="119" t="str">
        <f>"2B:field221:" &amp; IF(I422="■",1,IF(L422="■",2,0))</f>
        <v>2B:field221:0</v>
      </c>
    </row>
    <row r="423" spans="1:36" ht="18.75" customHeight="1" x14ac:dyDescent="0.15">
      <c r="A423" s="107"/>
      <c r="B423" s="108"/>
      <c r="C423" s="109"/>
      <c r="D423" s="110"/>
      <c r="E423" s="111"/>
      <c r="F423" s="112"/>
      <c r="G423" s="111"/>
      <c r="H423" s="328"/>
      <c r="I423" s="360"/>
      <c r="J423" s="359"/>
      <c r="K423" s="359"/>
      <c r="L423" s="360"/>
      <c r="M423" s="359"/>
      <c r="N423" s="359"/>
      <c r="O423" s="144"/>
      <c r="P423" s="144"/>
      <c r="Q423" s="144"/>
      <c r="R423" s="144"/>
      <c r="S423" s="144"/>
      <c r="T423" s="144"/>
      <c r="U423" s="144"/>
      <c r="V423" s="144"/>
      <c r="W423" s="144"/>
      <c r="X423" s="226"/>
      <c r="Y423" s="147"/>
      <c r="Z423" s="105"/>
      <c r="AA423" s="105"/>
      <c r="AB423" s="106"/>
      <c r="AC423" s="314"/>
      <c r="AD423" s="315"/>
      <c r="AE423" s="315"/>
      <c r="AF423" s="316"/>
    </row>
    <row r="424" spans="1:36" ht="18.75" customHeight="1" x14ac:dyDescent="0.15">
      <c r="A424" s="170"/>
      <c r="B424" s="108"/>
      <c r="C424" s="172"/>
      <c r="D424" s="173"/>
      <c r="E424" s="174"/>
      <c r="F424" s="175"/>
      <c r="G424" s="176"/>
      <c r="H424" s="95" t="s">
        <v>405</v>
      </c>
      <c r="I424" s="194" t="s">
        <v>348</v>
      </c>
      <c r="J424" s="96" t="s">
        <v>216</v>
      </c>
      <c r="K424" s="96"/>
      <c r="L424" s="178" t="s">
        <v>348</v>
      </c>
      <c r="M424" s="96" t="s">
        <v>373</v>
      </c>
      <c r="N424" s="97"/>
      <c r="O424" s="178" t="s">
        <v>348</v>
      </c>
      <c r="P424" s="99" t="s">
        <v>374</v>
      </c>
      <c r="Q424" s="98"/>
      <c r="R424" s="178" t="s">
        <v>348</v>
      </c>
      <c r="S424" s="96" t="s">
        <v>375</v>
      </c>
      <c r="T424" s="98"/>
      <c r="U424" s="178" t="s">
        <v>348</v>
      </c>
      <c r="V424" s="96" t="s">
        <v>376</v>
      </c>
      <c r="W424" s="100"/>
      <c r="X424" s="101"/>
      <c r="Y424" s="179"/>
      <c r="Z424" s="179"/>
      <c r="AA424" s="179"/>
      <c r="AB424" s="180"/>
      <c r="AC424" s="314"/>
      <c r="AD424" s="315"/>
      <c r="AE424" s="315"/>
      <c r="AF424" s="316"/>
      <c r="AG424" s="119"/>
      <c r="AH424" s="119"/>
      <c r="AI424" s="119" t="str">
        <f>"2B:shoguukaizen_code:"&amp;IF(I424="■",1,IF(L424="■",7,IF(O424="■",8,IF(R424="■",9,IF(U424="■","A",0)))))</f>
        <v>2B:shoguukaizen_code:0</v>
      </c>
    </row>
    <row r="425" spans="1:36" ht="18.75" customHeight="1" x14ac:dyDescent="0.15">
      <c r="A425" s="130"/>
      <c r="B425" s="131"/>
      <c r="C425" s="132"/>
      <c r="D425" s="133"/>
      <c r="E425" s="126"/>
      <c r="F425" s="134"/>
      <c r="G425" s="126"/>
      <c r="H425" s="340" t="s">
        <v>96</v>
      </c>
      <c r="I425" s="194" t="s">
        <v>348</v>
      </c>
      <c r="J425" s="124" t="s">
        <v>265</v>
      </c>
      <c r="K425" s="137"/>
      <c r="L425" s="231"/>
      <c r="M425" s="136" t="s">
        <v>348</v>
      </c>
      <c r="N425" s="124" t="s">
        <v>293</v>
      </c>
      <c r="O425" s="232"/>
      <c r="P425" s="232"/>
      <c r="Q425" s="136" t="s">
        <v>348</v>
      </c>
      <c r="R425" s="124" t="s">
        <v>294</v>
      </c>
      <c r="S425" s="232"/>
      <c r="T425" s="232"/>
      <c r="U425" s="136" t="s">
        <v>348</v>
      </c>
      <c r="V425" s="124" t="s">
        <v>295</v>
      </c>
      <c r="W425" s="232"/>
      <c r="X425" s="213"/>
      <c r="Y425" s="140" t="s">
        <v>348</v>
      </c>
      <c r="Z425" s="124" t="s">
        <v>215</v>
      </c>
      <c r="AA425" s="124"/>
      <c r="AB425" s="139"/>
      <c r="AC425" s="311"/>
      <c r="AD425" s="312"/>
      <c r="AE425" s="312"/>
      <c r="AF425" s="313"/>
      <c r="AG425" s="119" t="str">
        <f>"ser_code = '" &amp; IF(A436="■","2B","") &amp; "'"</f>
        <v>ser_code = ''</v>
      </c>
      <c r="AH425" s="119"/>
      <c r="AI425" s="119" t="str">
        <f>"2B:yakan_kinmu_code:" &amp; IF(I425="■",1,IF(M425="■",2,IF(Q425="■",3,IF(U425="■",7,IF(I426="■",5,IF(M426="■",6,0))))))</f>
        <v>2B:yakan_kinmu_code:0</v>
      </c>
      <c r="AJ425" s="119" t="str">
        <f>"2B:field203:" &amp; IF(Y425="■",1,IF(Y426="■",2,0))</f>
        <v>2B:field203:0</v>
      </c>
    </row>
    <row r="426" spans="1:36" ht="18.75" customHeight="1" x14ac:dyDescent="0.15">
      <c r="A426" s="107"/>
      <c r="B426" s="108"/>
      <c r="C426" s="109"/>
      <c r="D426" s="110"/>
      <c r="E426" s="111"/>
      <c r="F426" s="112"/>
      <c r="G426" s="111"/>
      <c r="H426" s="371"/>
      <c r="I426" s="128" t="s">
        <v>348</v>
      </c>
      <c r="J426" s="115" t="s">
        <v>296</v>
      </c>
      <c r="K426" s="166"/>
      <c r="L426" s="116"/>
      <c r="M426" s="191" t="s">
        <v>348</v>
      </c>
      <c r="N426" s="115" t="s">
        <v>266</v>
      </c>
      <c r="O426" s="144"/>
      <c r="P426" s="144"/>
      <c r="Q426" s="144"/>
      <c r="R426" s="144"/>
      <c r="S426" s="144"/>
      <c r="T426" s="144"/>
      <c r="U426" s="144"/>
      <c r="V426" s="144"/>
      <c r="W426" s="144"/>
      <c r="X426" s="226"/>
      <c r="Y426" s="123" t="s">
        <v>348</v>
      </c>
      <c r="Z426" s="104" t="s">
        <v>221</v>
      </c>
      <c r="AA426" s="105"/>
      <c r="AB426" s="106"/>
      <c r="AC426" s="314"/>
      <c r="AD426" s="315"/>
      <c r="AE426" s="315"/>
      <c r="AF426" s="316"/>
      <c r="AG426" s="119" t="str">
        <f>"2B:sisetukbn_code:"&amp;IF(D436="■","5",0)</f>
        <v>2B:sisetukbn_code:0</v>
      </c>
      <c r="AH426" s="119"/>
      <c r="AI426" s="119"/>
      <c r="AJ426" s="119"/>
    </row>
    <row r="427" spans="1:36" ht="18.75" customHeight="1" x14ac:dyDescent="0.15">
      <c r="A427" s="107"/>
      <c r="B427" s="108"/>
      <c r="C427" s="109"/>
      <c r="D427" s="110"/>
      <c r="E427" s="111"/>
      <c r="F427" s="112"/>
      <c r="G427" s="111"/>
      <c r="H427" s="370" t="s">
        <v>162</v>
      </c>
      <c r="I427" s="194" t="s">
        <v>348</v>
      </c>
      <c r="J427" s="160" t="s">
        <v>216</v>
      </c>
      <c r="K427" s="160"/>
      <c r="L427" s="205"/>
      <c r="M427" s="195" t="s">
        <v>348</v>
      </c>
      <c r="N427" s="160" t="s">
        <v>254</v>
      </c>
      <c r="O427" s="160"/>
      <c r="P427" s="205"/>
      <c r="Q427" s="195" t="s">
        <v>348</v>
      </c>
      <c r="R427" s="198" t="s">
        <v>337</v>
      </c>
      <c r="S427" s="198"/>
      <c r="T427" s="198"/>
      <c r="U427" s="241"/>
      <c r="V427" s="205"/>
      <c r="W427" s="198"/>
      <c r="X427" s="242"/>
      <c r="Y427" s="147"/>
      <c r="Z427" s="105"/>
      <c r="AA427" s="105"/>
      <c r="AB427" s="106"/>
      <c r="AC427" s="314"/>
      <c r="AD427" s="315"/>
      <c r="AE427" s="315"/>
      <c r="AF427" s="316"/>
      <c r="AG427" s="119"/>
      <c r="AH427" s="119"/>
      <c r="AI427" s="119" t="str">
        <f>"2B:"&amp;IF(AND(I427="□",M427="□",Q427="□",I428="□",M428="□"),"ketu_doctor_code:0",IF(I427="■","ketu_doctor_code:1:field197:1:ketu_kangos_code:1:ketu_kshoku_code:1",IF(M427="■","ketu_doctor_code:2","ketu_doctor_code:1")
&amp;IF(Q427="■",":field197:2",":field197:1")
&amp;IF(I428="■",":ketu_kangos_code:2",":ketu_kangos_code:1")
&amp;IF(M428="■",":ketu_kshoku_code:2",":ketu_kshoku_code:1")))</f>
        <v>2B:ketu_doctor_code:0</v>
      </c>
      <c r="AJ427" s="119"/>
    </row>
    <row r="428" spans="1:36" ht="18.75" customHeight="1" x14ac:dyDescent="0.15">
      <c r="A428" s="107"/>
      <c r="B428" s="108"/>
      <c r="C428" s="109"/>
      <c r="D428" s="110"/>
      <c r="E428" s="111"/>
      <c r="F428" s="112"/>
      <c r="G428" s="111"/>
      <c r="H428" s="371"/>
      <c r="I428" s="128" t="s">
        <v>348</v>
      </c>
      <c r="J428" s="144" t="s">
        <v>338</v>
      </c>
      <c r="K428" s="144"/>
      <c r="L428" s="144"/>
      <c r="M428" s="191" t="s">
        <v>348</v>
      </c>
      <c r="N428" s="144" t="s">
        <v>339</v>
      </c>
      <c r="O428" s="116"/>
      <c r="P428" s="144"/>
      <c r="Q428" s="144"/>
      <c r="R428" s="116"/>
      <c r="S428" s="144"/>
      <c r="T428" s="144"/>
      <c r="U428" s="145"/>
      <c r="V428" s="116"/>
      <c r="W428" s="144"/>
      <c r="X428" s="146"/>
      <c r="Y428" s="147"/>
      <c r="Z428" s="105"/>
      <c r="AA428" s="105"/>
      <c r="AB428" s="106"/>
      <c r="AC428" s="314"/>
      <c r="AD428" s="315"/>
      <c r="AE428" s="315"/>
      <c r="AF428" s="316"/>
      <c r="AI428" s="119"/>
    </row>
    <row r="429" spans="1:36" ht="18.75" customHeight="1" x14ac:dyDescent="0.15">
      <c r="A429" s="107"/>
      <c r="B429" s="108"/>
      <c r="C429" s="109"/>
      <c r="D429" s="110"/>
      <c r="E429" s="111"/>
      <c r="F429" s="112"/>
      <c r="G429" s="111"/>
      <c r="H429" s="230" t="s">
        <v>97</v>
      </c>
      <c r="I429" s="194" t="s">
        <v>348</v>
      </c>
      <c r="J429" s="149" t="s">
        <v>230</v>
      </c>
      <c r="K429" s="150"/>
      <c r="L429" s="151"/>
      <c r="M429" s="152" t="s">
        <v>348</v>
      </c>
      <c r="N429" s="149" t="s">
        <v>231</v>
      </c>
      <c r="O429" s="154"/>
      <c r="P429" s="154"/>
      <c r="Q429" s="154"/>
      <c r="R429" s="154"/>
      <c r="S429" s="154"/>
      <c r="T429" s="154"/>
      <c r="U429" s="154"/>
      <c r="V429" s="154"/>
      <c r="W429" s="154"/>
      <c r="X429" s="155"/>
      <c r="Y429" s="147"/>
      <c r="Z429" s="105"/>
      <c r="AA429" s="105"/>
      <c r="AB429" s="106"/>
      <c r="AC429" s="314"/>
      <c r="AD429" s="315"/>
      <c r="AE429" s="315"/>
      <c r="AF429" s="316"/>
      <c r="AI429" s="119" t="str">
        <f>"2B:unitcare_code:" &amp; IF(I429="■",1,IF(M429="■",2,0))</f>
        <v>2B:unitcare_code:0</v>
      </c>
    </row>
    <row r="430" spans="1:36" s="119" customFormat="1" ht="18.75" customHeight="1" x14ac:dyDescent="0.15">
      <c r="A430" s="107"/>
      <c r="B430" s="108"/>
      <c r="C430" s="238"/>
      <c r="D430" s="239"/>
      <c r="E430" s="111"/>
      <c r="F430" s="112"/>
      <c r="G430" s="113"/>
      <c r="H430" s="230" t="s">
        <v>103</v>
      </c>
      <c r="I430" s="148" t="s">
        <v>348</v>
      </c>
      <c r="J430" s="149" t="s">
        <v>360</v>
      </c>
      <c r="K430" s="150"/>
      <c r="L430" s="151"/>
      <c r="M430" s="152" t="s">
        <v>348</v>
      </c>
      <c r="N430" s="149" t="s">
        <v>361</v>
      </c>
      <c r="O430" s="150"/>
      <c r="P430" s="150"/>
      <c r="Q430" s="150"/>
      <c r="R430" s="150"/>
      <c r="S430" s="150"/>
      <c r="T430" s="150"/>
      <c r="U430" s="150"/>
      <c r="V430" s="150"/>
      <c r="W430" s="150"/>
      <c r="X430" s="159"/>
      <c r="Y430" s="147"/>
      <c r="Z430" s="105"/>
      <c r="AA430" s="105"/>
      <c r="AB430" s="106"/>
      <c r="AC430" s="314"/>
      <c r="AD430" s="315"/>
      <c r="AE430" s="315"/>
      <c r="AF430" s="316"/>
      <c r="AI430" s="119" t="str">
        <f>"2B:sintaikousoku_code:" &amp; IF(I430="■",1,IF(M430="■",2,0))</f>
        <v>2B:sintaikousoku_code:0</v>
      </c>
    </row>
    <row r="431" spans="1:36" ht="19.5" customHeight="1" x14ac:dyDescent="0.15">
      <c r="A431" s="107"/>
      <c r="B431" s="108"/>
      <c r="C431" s="109"/>
      <c r="D431" s="110"/>
      <c r="E431" s="111"/>
      <c r="F431" s="112"/>
      <c r="G431" s="113"/>
      <c r="H431" s="114" t="s">
        <v>369</v>
      </c>
      <c r="I431" s="194" t="s">
        <v>348</v>
      </c>
      <c r="J431" s="149" t="s">
        <v>360</v>
      </c>
      <c r="K431" s="150"/>
      <c r="L431" s="151"/>
      <c r="M431" s="152" t="s">
        <v>348</v>
      </c>
      <c r="N431" s="149" t="s">
        <v>370</v>
      </c>
      <c r="O431" s="154"/>
      <c r="P431" s="149"/>
      <c r="Q431" s="154"/>
      <c r="R431" s="154"/>
      <c r="S431" s="154"/>
      <c r="T431" s="154"/>
      <c r="U431" s="154"/>
      <c r="V431" s="154"/>
      <c r="W431" s="154"/>
      <c r="X431" s="155"/>
      <c r="Y431" s="105"/>
      <c r="Z431" s="105"/>
      <c r="AA431" s="105"/>
      <c r="AB431" s="106"/>
      <c r="AC431" s="314"/>
      <c r="AD431" s="315"/>
      <c r="AE431" s="315"/>
      <c r="AF431" s="316"/>
      <c r="AI431" s="119" t="str">
        <f>"2B:field223:" &amp; IF(I431="■",1,IF(M431="■",2,0))</f>
        <v>2B:field223:0</v>
      </c>
    </row>
    <row r="432" spans="1:36" ht="19.5" customHeight="1" x14ac:dyDescent="0.15">
      <c r="A432" s="107"/>
      <c r="B432" s="108"/>
      <c r="C432" s="109"/>
      <c r="D432" s="110"/>
      <c r="E432" s="111"/>
      <c r="F432" s="112"/>
      <c r="G432" s="113"/>
      <c r="H432" s="114" t="s">
        <v>390</v>
      </c>
      <c r="I432" s="194" t="s">
        <v>348</v>
      </c>
      <c r="J432" s="149" t="s">
        <v>360</v>
      </c>
      <c r="K432" s="150"/>
      <c r="L432" s="151"/>
      <c r="M432" s="152" t="s">
        <v>348</v>
      </c>
      <c r="N432" s="149" t="s">
        <v>370</v>
      </c>
      <c r="O432" s="154"/>
      <c r="P432" s="149"/>
      <c r="Q432" s="154"/>
      <c r="R432" s="154"/>
      <c r="S432" s="154"/>
      <c r="T432" s="154"/>
      <c r="U432" s="154"/>
      <c r="V432" s="154"/>
      <c r="W432" s="154"/>
      <c r="X432" s="155"/>
      <c r="Y432" s="105"/>
      <c r="Z432" s="105"/>
      <c r="AA432" s="105"/>
      <c r="AB432" s="106"/>
      <c r="AC432" s="314"/>
      <c r="AD432" s="315"/>
      <c r="AE432" s="315"/>
      <c r="AF432" s="316"/>
      <c r="AI432" s="119" t="str">
        <f>"2B:field232:" &amp; IF(I432="■",1,IF(M432="■",2,0))</f>
        <v>2B:field232:0</v>
      </c>
    </row>
    <row r="433" spans="1:35" ht="18.75" customHeight="1" x14ac:dyDescent="0.15">
      <c r="A433" s="107"/>
      <c r="B433" s="108"/>
      <c r="C433" s="109"/>
      <c r="D433" s="110"/>
      <c r="E433" s="111"/>
      <c r="F433" s="112"/>
      <c r="G433" s="111"/>
      <c r="H433" s="230" t="s">
        <v>149</v>
      </c>
      <c r="I433" s="194" t="s">
        <v>348</v>
      </c>
      <c r="J433" s="149" t="s">
        <v>265</v>
      </c>
      <c r="K433" s="150"/>
      <c r="L433" s="151"/>
      <c r="M433" s="152" t="s">
        <v>348</v>
      </c>
      <c r="N433" s="149" t="s">
        <v>297</v>
      </c>
      <c r="O433" s="154"/>
      <c r="P433" s="154"/>
      <c r="Q433" s="154"/>
      <c r="R433" s="154"/>
      <c r="S433" s="154"/>
      <c r="T433" s="154"/>
      <c r="U433" s="154"/>
      <c r="V433" s="154"/>
      <c r="W433" s="154"/>
      <c r="X433" s="155"/>
      <c r="Y433" s="147"/>
      <c r="Z433" s="105"/>
      <c r="AA433" s="105"/>
      <c r="AB433" s="106"/>
      <c r="AC433" s="314"/>
      <c r="AD433" s="315"/>
      <c r="AE433" s="315"/>
      <c r="AF433" s="316"/>
      <c r="AI433" s="119" t="str">
        <f>"2B:field190:" &amp; IF(I433="■",1,IF(M433="■",2,0))</f>
        <v>2B:field190:0</v>
      </c>
    </row>
    <row r="434" spans="1:35" ht="18.75" customHeight="1" x14ac:dyDescent="0.15">
      <c r="A434" s="107"/>
      <c r="B434" s="108"/>
      <c r="C434" s="109"/>
      <c r="D434" s="110"/>
      <c r="E434" s="111"/>
      <c r="F434" s="112"/>
      <c r="G434" s="111"/>
      <c r="H434" s="230" t="s">
        <v>150</v>
      </c>
      <c r="I434" s="194" t="s">
        <v>348</v>
      </c>
      <c r="J434" s="149" t="s">
        <v>265</v>
      </c>
      <c r="K434" s="150"/>
      <c r="L434" s="151"/>
      <c r="M434" s="152" t="s">
        <v>348</v>
      </c>
      <c r="N434" s="149" t="s">
        <v>297</v>
      </c>
      <c r="O434" s="154"/>
      <c r="P434" s="154"/>
      <c r="Q434" s="154"/>
      <c r="R434" s="154"/>
      <c r="S434" s="154"/>
      <c r="T434" s="154"/>
      <c r="U434" s="154"/>
      <c r="V434" s="154"/>
      <c r="W434" s="154"/>
      <c r="X434" s="155"/>
      <c r="Y434" s="147"/>
      <c r="Z434" s="105"/>
      <c r="AA434" s="105"/>
      <c r="AB434" s="106"/>
      <c r="AC434" s="314"/>
      <c r="AD434" s="315"/>
      <c r="AE434" s="315"/>
      <c r="AF434" s="316"/>
      <c r="AI434" s="119" t="str">
        <f>"2B:field191:" &amp; IF(I434="■",1,IF(M434="■",2,0))</f>
        <v>2B:field191:0</v>
      </c>
    </row>
    <row r="435" spans="1:35" ht="18.75" customHeight="1" x14ac:dyDescent="0.15">
      <c r="A435" s="107"/>
      <c r="B435" s="108"/>
      <c r="C435" s="109"/>
      <c r="D435" s="110"/>
      <c r="E435" s="111"/>
      <c r="F435" s="112"/>
      <c r="G435" s="111"/>
      <c r="H435" s="230" t="s">
        <v>424</v>
      </c>
      <c r="I435" s="194" t="s">
        <v>348</v>
      </c>
      <c r="J435" s="149" t="s">
        <v>216</v>
      </c>
      <c r="K435" s="150"/>
      <c r="L435" s="152" t="s">
        <v>348</v>
      </c>
      <c r="M435" s="149" t="s">
        <v>232</v>
      </c>
      <c r="N435" s="154"/>
      <c r="O435" s="154"/>
      <c r="P435" s="154"/>
      <c r="Q435" s="154"/>
      <c r="R435" s="154"/>
      <c r="S435" s="154"/>
      <c r="T435" s="154"/>
      <c r="U435" s="154"/>
      <c r="V435" s="154"/>
      <c r="W435" s="154"/>
      <c r="X435" s="155"/>
      <c r="Y435" s="147"/>
      <c r="Z435" s="105"/>
      <c r="AA435" s="105"/>
      <c r="AB435" s="106"/>
      <c r="AC435" s="314"/>
      <c r="AD435" s="315"/>
      <c r="AE435" s="315"/>
      <c r="AF435" s="316"/>
      <c r="AI435" s="119" t="str">
        <f>"2B:jyakuninti_uke_code:" &amp; IF(I435="■",1,IF(L435="■",2,0))</f>
        <v>2B:jyakuninti_uke_code:0</v>
      </c>
    </row>
    <row r="436" spans="1:35" ht="18.75" customHeight="1" x14ac:dyDescent="0.15">
      <c r="A436" s="128" t="s">
        <v>348</v>
      </c>
      <c r="B436" s="108" t="s">
        <v>436</v>
      </c>
      <c r="C436" s="109" t="s">
        <v>427</v>
      </c>
      <c r="D436" s="128" t="s">
        <v>348</v>
      </c>
      <c r="E436" s="111" t="s">
        <v>442</v>
      </c>
      <c r="F436" s="112"/>
      <c r="G436" s="111"/>
      <c r="H436" s="230" t="s">
        <v>94</v>
      </c>
      <c r="I436" s="194" t="s">
        <v>348</v>
      </c>
      <c r="J436" s="149" t="s">
        <v>230</v>
      </c>
      <c r="K436" s="150"/>
      <c r="L436" s="151"/>
      <c r="M436" s="152" t="s">
        <v>348</v>
      </c>
      <c r="N436" s="149" t="s">
        <v>231</v>
      </c>
      <c r="O436" s="154"/>
      <c r="P436" s="154"/>
      <c r="Q436" s="154"/>
      <c r="R436" s="154"/>
      <c r="S436" s="154"/>
      <c r="T436" s="154"/>
      <c r="U436" s="154"/>
      <c r="V436" s="154"/>
      <c r="W436" s="154"/>
      <c r="X436" s="155"/>
      <c r="Y436" s="147"/>
      <c r="Z436" s="105"/>
      <c r="AA436" s="105"/>
      <c r="AB436" s="106"/>
      <c r="AC436" s="314"/>
      <c r="AD436" s="315"/>
      <c r="AE436" s="315"/>
      <c r="AF436" s="316"/>
      <c r="AI436" s="119" t="str">
        <f>"2B:sougei_code:" &amp; IF(I436="■",1,IF(M436="■",2,0))</f>
        <v>2B:sougei_code:0</v>
      </c>
    </row>
    <row r="437" spans="1:35" ht="19.5" customHeight="1" x14ac:dyDescent="0.15">
      <c r="A437" s="107"/>
      <c r="B437" s="108"/>
      <c r="C437" s="109"/>
      <c r="D437" s="110"/>
      <c r="E437" s="111"/>
      <c r="F437" s="112"/>
      <c r="G437" s="111"/>
      <c r="H437" s="114" t="s">
        <v>372</v>
      </c>
      <c r="I437" s="194" t="s">
        <v>348</v>
      </c>
      <c r="J437" s="149" t="s">
        <v>216</v>
      </c>
      <c r="K437" s="149"/>
      <c r="L437" s="152" t="s">
        <v>348</v>
      </c>
      <c r="M437" s="149" t="s">
        <v>232</v>
      </c>
      <c r="N437" s="149"/>
      <c r="O437" s="154"/>
      <c r="P437" s="149"/>
      <c r="Q437" s="154"/>
      <c r="R437" s="154"/>
      <c r="S437" s="154"/>
      <c r="T437" s="154"/>
      <c r="U437" s="154"/>
      <c r="V437" s="154"/>
      <c r="W437" s="154"/>
      <c r="X437" s="155"/>
      <c r="Y437" s="105"/>
      <c r="Z437" s="105"/>
      <c r="AA437" s="105"/>
      <c r="AB437" s="106"/>
      <c r="AC437" s="314"/>
      <c r="AD437" s="315"/>
      <c r="AE437" s="315"/>
      <c r="AF437" s="316"/>
      <c r="AI437" s="119" t="str">
        <f>"2B:field224:" &amp; IF(I437="■",1,IF(L437="■",2,0))</f>
        <v>2B:field224:0</v>
      </c>
    </row>
    <row r="438" spans="1:35" ht="18.75" customHeight="1" x14ac:dyDescent="0.15">
      <c r="A438" s="107"/>
      <c r="B438" s="108"/>
      <c r="C438" s="109"/>
      <c r="D438" s="110"/>
      <c r="E438" s="111"/>
      <c r="F438" s="112"/>
      <c r="G438" s="111"/>
      <c r="H438" s="230" t="s">
        <v>106</v>
      </c>
      <c r="I438" s="194" t="s">
        <v>348</v>
      </c>
      <c r="J438" s="149" t="s">
        <v>216</v>
      </c>
      <c r="K438" s="150"/>
      <c r="L438" s="152" t="s">
        <v>348</v>
      </c>
      <c r="M438" s="149" t="s">
        <v>232</v>
      </c>
      <c r="N438" s="154"/>
      <c r="O438" s="154"/>
      <c r="P438" s="154"/>
      <c r="Q438" s="154"/>
      <c r="R438" s="154"/>
      <c r="S438" s="154"/>
      <c r="T438" s="154"/>
      <c r="U438" s="154"/>
      <c r="V438" s="154"/>
      <c r="W438" s="154"/>
      <c r="X438" s="155"/>
      <c r="Y438" s="147"/>
      <c r="Z438" s="105"/>
      <c r="AA438" s="105"/>
      <c r="AB438" s="106"/>
      <c r="AC438" s="314"/>
      <c r="AD438" s="315"/>
      <c r="AE438" s="315"/>
      <c r="AF438" s="316"/>
      <c r="AI438" s="119" t="str">
        <f>"2B:ryouyoushoku_code:" &amp; IF(I438="■",1,IF(L438="■",2,0))</f>
        <v>2B:ryouyoushoku_code:0</v>
      </c>
    </row>
    <row r="439" spans="1:35" ht="18.75" customHeight="1" x14ac:dyDescent="0.15">
      <c r="A439" s="107"/>
      <c r="B439" s="108"/>
      <c r="C439" s="109"/>
      <c r="D439" s="110"/>
      <c r="E439" s="111"/>
      <c r="F439" s="112"/>
      <c r="G439" s="111"/>
      <c r="H439" s="230" t="s">
        <v>109</v>
      </c>
      <c r="I439" s="194" t="s">
        <v>348</v>
      </c>
      <c r="J439" s="149" t="s">
        <v>216</v>
      </c>
      <c r="K439" s="149"/>
      <c r="L439" s="152" t="s">
        <v>348</v>
      </c>
      <c r="M439" s="149" t="s">
        <v>217</v>
      </c>
      <c r="N439" s="149"/>
      <c r="O439" s="152" t="s">
        <v>348</v>
      </c>
      <c r="P439" s="149" t="s">
        <v>218</v>
      </c>
      <c r="Q439" s="154"/>
      <c r="R439" s="154"/>
      <c r="S439" s="154"/>
      <c r="T439" s="154"/>
      <c r="U439" s="154"/>
      <c r="V439" s="154"/>
      <c r="W439" s="154"/>
      <c r="X439" s="155"/>
      <c r="Y439" s="147"/>
      <c r="Z439" s="105"/>
      <c r="AA439" s="105"/>
      <c r="AB439" s="106"/>
      <c r="AC439" s="314"/>
      <c r="AD439" s="315"/>
      <c r="AE439" s="315"/>
      <c r="AF439" s="316"/>
      <c r="AI439" s="119" t="str">
        <f>"2B:ninti_senmoncare_code:" &amp; IF(I439="■",1,IF(O439="■",3,IF(L439="■",2,0)))</f>
        <v>2B:ninti_senmoncare_code:0</v>
      </c>
    </row>
    <row r="440" spans="1:35" ht="18.75" customHeight="1" x14ac:dyDescent="0.15">
      <c r="A440" s="107"/>
      <c r="B440" s="108"/>
      <c r="C440" s="109"/>
      <c r="D440" s="110"/>
      <c r="E440" s="111"/>
      <c r="F440" s="112"/>
      <c r="G440" s="111"/>
      <c r="H440" s="370" t="s">
        <v>136</v>
      </c>
      <c r="I440" s="194" t="s">
        <v>348</v>
      </c>
      <c r="J440" s="160" t="s">
        <v>285</v>
      </c>
      <c r="K440" s="160"/>
      <c r="L440" s="241"/>
      <c r="M440" s="241"/>
      <c r="N440" s="241"/>
      <c r="O440" s="241"/>
      <c r="P440" s="195" t="s">
        <v>348</v>
      </c>
      <c r="Q440" s="160" t="s">
        <v>286</v>
      </c>
      <c r="R440" s="241"/>
      <c r="S440" s="241"/>
      <c r="T440" s="241"/>
      <c r="U440" s="241"/>
      <c r="V440" s="241"/>
      <c r="W440" s="241"/>
      <c r="X440" s="242"/>
      <c r="Y440" s="147"/>
      <c r="Z440" s="105"/>
      <c r="AA440" s="105"/>
      <c r="AB440" s="106"/>
      <c r="AC440" s="314"/>
      <c r="AD440" s="315"/>
      <c r="AE440" s="315"/>
      <c r="AF440" s="316"/>
      <c r="AI440" s="119" t="str">
        <f>"2B:" &amp; IF(AND(I440="□",P440="□",I441="□"),"tokusin_jyusho_code:0:tokusin_yakuzai_code:0:shuudan_comu_code:0",IF(I440="■","tokusin_jyusho_code:2","tokusin_jyusho_code:1")
&amp;IF(P440="■",":tokusin_yakuzai_code:2",":tokusin_yakuzai_code:1")
&amp;IF(I441="■",":shuudan_comu_code:2",":shuudan_comu_code:1"))</f>
        <v>2B:tokusin_jyusho_code:0:tokusin_yakuzai_code:0:shuudan_comu_code:0</v>
      </c>
    </row>
    <row r="441" spans="1:35" ht="18.75" customHeight="1" x14ac:dyDescent="0.15">
      <c r="A441" s="107"/>
      <c r="B441" s="108"/>
      <c r="C441" s="109"/>
      <c r="D441" s="110"/>
      <c r="E441" s="111"/>
      <c r="F441" s="112"/>
      <c r="G441" s="111"/>
      <c r="H441" s="371"/>
      <c r="I441" s="128" t="s">
        <v>348</v>
      </c>
      <c r="J441" s="115" t="s">
        <v>299</v>
      </c>
      <c r="K441" s="145"/>
      <c r="L441" s="145"/>
      <c r="M441" s="145"/>
      <c r="N441" s="145"/>
      <c r="O441" s="145"/>
      <c r="P441" s="145"/>
      <c r="Q441" s="144"/>
      <c r="R441" s="145"/>
      <c r="S441" s="145"/>
      <c r="T441" s="145"/>
      <c r="U441" s="145"/>
      <c r="V441" s="145"/>
      <c r="W441" s="145"/>
      <c r="X441" s="146"/>
      <c r="Y441" s="147"/>
      <c r="Z441" s="105"/>
      <c r="AA441" s="105"/>
      <c r="AB441" s="106"/>
      <c r="AC441" s="314"/>
      <c r="AD441" s="315"/>
      <c r="AE441" s="315"/>
      <c r="AF441" s="316"/>
      <c r="AI441" s="119"/>
    </row>
    <row r="442" spans="1:35" ht="18.75" customHeight="1" x14ac:dyDescent="0.15">
      <c r="A442" s="107"/>
      <c r="B442" s="108"/>
      <c r="C442" s="109"/>
      <c r="D442" s="110"/>
      <c r="E442" s="111"/>
      <c r="F442" s="112"/>
      <c r="G442" s="111"/>
      <c r="H442" s="370" t="s">
        <v>102</v>
      </c>
      <c r="I442" s="194" t="s">
        <v>348</v>
      </c>
      <c r="J442" s="160" t="s">
        <v>300</v>
      </c>
      <c r="K442" s="168"/>
      <c r="L442" s="205"/>
      <c r="M442" s="195" t="s">
        <v>348</v>
      </c>
      <c r="N442" s="160" t="s">
        <v>301</v>
      </c>
      <c r="O442" s="241"/>
      <c r="P442" s="241"/>
      <c r="Q442" s="195" t="s">
        <v>348</v>
      </c>
      <c r="R442" s="160" t="s">
        <v>302</v>
      </c>
      <c r="S442" s="241"/>
      <c r="T442" s="241"/>
      <c r="U442" s="241"/>
      <c r="V442" s="241"/>
      <c r="W442" s="241"/>
      <c r="X442" s="242"/>
      <c r="Y442" s="147"/>
      <c r="Z442" s="105"/>
      <c r="AA442" s="105"/>
      <c r="AB442" s="106"/>
      <c r="AC442" s="314"/>
      <c r="AD442" s="315"/>
      <c r="AE442" s="315"/>
      <c r="AF442" s="316"/>
      <c r="AI442" s="119" t="str">
        <f>"2B:"&amp;IF(AND(I442="□",M442="□",Q442="□",I443="□",Q443="□"),"koriha_rryoho1_code:0:koriha_sryoho_code:0:koriha_gengo_code:0:riha_seisin_code:0:koriha_other_code:0",IF(I442="■","koriha_rryoho1_code:2","koriha_rryoho1_code:1")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2B:koriha_rryoho1_code:0:koriha_sryoho_code:0:koriha_gengo_code:0:riha_seisin_code:0:koriha_other_code:0</v>
      </c>
    </row>
    <row r="443" spans="1:35" ht="18.75" customHeight="1" x14ac:dyDescent="0.15">
      <c r="A443" s="107"/>
      <c r="B443" s="108"/>
      <c r="C443" s="109"/>
      <c r="D443" s="110"/>
      <c r="E443" s="111"/>
      <c r="F443" s="112"/>
      <c r="G443" s="111"/>
      <c r="H443" s="371"/>
      <c r="I443" s="128" t="s">
        <v>348</v>
      </c>
      <c r="J443" s="115" t="s">
        <v>303</v>
      </c>
      <c r="K443" s="145"/>
      <c r="L443" s="145"/>
      <c r="M443" s="145"/>
      <c r="N443" s="145"/>
      <c r="O443" s="145"/>
      <c r="P443" s="145"/>
      <c r="Q443" s="191" t="s">
        <v>348</v>
      </c>
      <c r="R443" s="115" t="s">
        <v>304</v>
      </c>
      <c r="S443" s="144"/>
      <c r="T443" s="145"/>
      <c r="U443" s="145"/>
      <c r="V443" s="145"/>
      <c r="W443" s="145"/>
      <c r="X443" s="146"/>
      <c r="Y443" s="147"/>
      <c r="Z443" s="105"/>
      <c r="AA443" s="105"/>
      <c r="AB443" s="106"/>
      <c r="AC443" s="314"/>
      <c r="AD443" s="315"/>
      <c r="AE443" s="315"/>
      <c r="AF443" s="316"/>
      <c r="AI443" s="119"/>
    </row>
    <row r="444" spans="1:35" ht="18.75" customHeight="1" x14ac:dyDescent="0.15">
      <c r="A444" s="107"/>
      <c r="B444" s="108"/>
      <c r="C444" s="109"/>
      <c r="D444" s="110"/>
      <c r="E444" s="111"/>
      <c r="F444" s="112"/>
      <c r="G444" s="111"/>
      <c r="H444" s="240" t="s">
        <v>385</v>
      </c>
      <c r="I444" s="194" t="s">
        <v>348</v>
      </c>
      <c r="J444" s="149" t="s">
        <v>216</v>
      </c>
      <c r="K444" s="149"/>
      <c r="L444" s="152" t="s">
        <v>348</v>
      </c>
      <c r="M444" s="149" t="s">
        <v>217</v>
      </c>
      <c r="N444" s="149"/>
      <c r="O444" s="152" t="s">
        <v>348</v>
      </c>
      <c r="P444" s="149" t="s">
        <v>218</v>
      </c>
      <c r="Q444" s="154"/>
      <c r="R444" s="154"/>
      <c r="S444" s="154"/>
      <c r="T444" s="154"/>
      <c r="U444" s="241"/>
      <c r="V444" s="241"/>
      <c r="W444" s="241"/>
      <c r="X444" s="242"/>
      <c r="Y444" s="147"/>
      <c r="Z444" s="105"/>
      <c r="AA444" s="105"/>
      <c r="AB444" s="106"/>
      <c r="AC444" s="314"/>
      <c r="AD444" s="315"/>
      <c r="AE444" s="315"/>
      <c r="AF444" s="316"/>
      <c r="AI444" s="119" t="str">
        <f>"2B:field225:" &amp; IF(I444="■",1,IF(L444="■",2,IF(O444="■",3,0)))</f>
        <v>2B:field225:0</v>
      </c>
    </row>
    <row r="445" spans="1:35" ht="18.75" customHeight="1" x14ac:dyDescent="0.15">
      <c r="A445" s="107"/>
      <c r="B445" s="108"/>
      <c r="C445" s="109"/>
      <c r="D445" s="110"/>
      <c r="E445" s="111"/>
      <c r="F445" s="112"/>
      <c r="G445" s="111"/>
      <c r="H445" s="230" t="s">
        <v>111</v>
      </c>
      <c r="I445" s="194" t="s">
        <v>348</v>
      </c>
      <c r="J445" s="149" t="s">
        <v>216</v>
      </c>
      <c r="K445" s="149"/>
      <c r="L445" s="152" t="s">
        <v>348</v>
      </c>
      <c r="M445" s="149" t="s">
        <v>224</v>
      </c>
      <c r="N445" s="149"/>
      <c r="O445" s="152" t="s">
        <v>348</v>
      </c>
      <c r="P445" s="149" t="s">
        <v>225</v>
      </c>
      <c r="Q445" s="196"/>
      <c r="R445" s="152" t="s">
        <v>348</v>
      </c>
      <c r="S445" s="149" t="s">
        <v>248</v>
      </c>
      <c r="T445" s="196"/>
      <c r="U445" s="196"/>
      <c r="V445" s="196"/>
      <c r="W445" s="196"/>
      <c r="X445" s="197"/>
      <c r="Y445" s="147"/>
      <c r="Z445" s="105"/>
      <c r="AA445" s="105"/>
      <c r="AB445" s="106"/>
      <c r="AC445" s="314"/>
      <c r="AD445" s="315"/>
      <c r="AE445" s="315"/>
      <c r="AF445" s="316"/>
      <c r="AI445" s="119" t="str">
        <f>"2B:serteikyo_kyoka_code:" &amp; IF(I445="■",1,IF(L445="■",6,IF(O445="■",5,IF(R445="■",7,0))))</f>
        <v>2B:serteikyo_kyoka_code:0</v>
      </c>
    </row>
    <row r="446" spans="1:35" ht="18.75" customHeight="1" x14ac:dyDescent="0.15">
      <c r="A446" s="107"/>
      <c r="B446" s="108"/>
      <c r="C446" s="109"/>
      <c r="D446" s="110"/>
      <c r="E446" s="111"/>
      <c r="F446" s="112"/>
      <c r="G446" s="111"/>
      <c r="H446" s="329" t="s">
        <v>409</v>
      </c>
      <c r="I446" s="360" t="s">
        <v>348</v>
      </c>
      <c r="J446" s="359" t="s">
        <v>216</v>
      </c>
      <c r="K446" s="359"/>
      <c r="L446" s="360" t="s">
        <v>348</v>
      </c>
      <c r="M446" s="359" t="s">
        <v>232</v>
      </c>
      <c r="N446" s="359"/>
      <c r="O446" s="198"/>
      <c r="P446" s="198"/>
      <c r="Q446" s="198"/>
      <c r="R446" s="198"/>
      <c r="S446" s="198"/>
      <c r="T446" s="198"/>
      <c r="U446" s="198"/>
      <c r="V446" s="198"/>
      <c r="W446" s="198"/>
      <c r="X446" s="199"/>
      <c r="Y446" s="147"/>
      <c r="Z446" s="105"/>
      <c r="AA446" s="105"/>
      <c r="AB446" s="106"/>
      <c r="AC446" s="314"/>
      <c r="AD446" s="315"/>
      <c r="AE446" s="315"/>
      <c r="AF446" s="316"/>
      <c r="AI446" s="119" t="str">
        <f>"2B:field221:" &amp; IF(I446="■",1,IF(L446="■",2,0))</f>
        <v>2B:field221:0</v>
      </c>
    </row>
    <row r="447" spans="1:35" ht="18.75" customHeight="1" x14ac:dyDescent="0.15">
      <c r="A447" s="107"/>
      <c r="B447" s="108"/>
      <c r="C447" s="109"/>
      <c r="D447" s="110"/>
      <c r="E447" s="111"/>
      <c r="F447" s="112"/>
      <c r="G447" s="111"/>
      <c r="H447" s="328"/>
      <c r="I447" s="360"/>
      <c r="J447" s="359"/>
      <c r="K447" s="359"/>
      <c r="L447" s="360"/>
      <c r="M447" s="359"/>
      <c r="N447" s="359"/>
      <c r="O447" s="144"/>
      <c r="P447" s="144"/>
      <c r="Q447" s="144"/>
      <c r="R447" s="144"/>
      <c r="S447" s="144"/>
      <c r="T447" s="144"/>
      <c r="U447" s="144"/>
      <c r="V447" s="144"/>
      <c r="W447" s="144"/>
      <c r="X447" s="226"/>
      <c r="Y447" s="147"/>
      <c r="Z447" s="105"/>
      <c r="AA447" s="105"/>
      <c r="AB447" s="106"/>
      <c r="AC447" s="314"/>
      <c r="AD447" s="315"/>
      <c r="AE447" s="315"/>
      <c r="AF447" s="316"/>
    </row>
    <row r="448" spans="1:35" ht="18.75" customHeight="1" x14ac:dyDescent="0.15">
      <c r="A448" s="170"/>
      <c r="B448" s="171"/>
      <c r="C448" s="172"/>
      <c r="D448" s="173"/>
      <c r="E448" s="174"/>
      <c r="F448" s="175"/>
      <c r="G448" s="176"/>
      <c r="H448" s="95" t="s">
        <v>405</v>
      </c>
      <c r="I448" s="177" t="s">
        <v>348</v>
      </c>
      <c r="J448" s="96" t="s">
        <v>216</v>
      </c>
      <c r="K448" s="96"/>
      <c r="L448" s="178" t="s">
        <v>348</v>
      </c>
      <c r="M448" s="96" t="s">
        <v>373</v>
      </c>
      <c r="N448" s="97"/>
      <c r="O448" s="178" t="s">
        <v>348</v>
      </c>
      <c r="P448" s="99" t="s">
        <v>374</v>
      </c>
      <c r="Q448" s="98"/>
      <c r="R448" s="178" t="s">
        <v>348</v>
      </c>
      <c r="S448" s="96" t="s">
        <v>375</v>
      </c>
      <c r="T448" s="98"/>
      <c r="U448" s="178" t="s">
        <v>348</v>
      </c>
      <c r="V448" s="96" t="s">
        <v>376</v>
      </c>
      <c r="W448" s="100"/>
      <c r="X448" s="101"/>
      <c r="Y448" s="179"/>
      <c r="Z448" s="179"/>
      <c r="AA448" s="179"/>
      <c r="AB448" s="180"/>
      <c r="AC448" s="351"/>
      <c r="AD448" s="352"/>
      <c r="AE448" s="352"/>
      <c r="AF448" s="353"/>
      <c r="AG448" s="119"/>
      <c r="AH448" s="119"/>
      <c r="AI448" s="119" t="str">
        <f>"2B:shoguukaizen_code:"&amp;IF(I448="■",1,IF(L448="■",7,IF(O448="■",8,IF(R448="■",9,IF(U448="■","A",0)))))</f>
        <v>2B:shoguukaizen_code:0</v>
      </c>
    </row>
    <row r="449" spans="1:36" ht="18.75" customHeight="1" x14ac:dyDescent="0.15">
      <c r="A449" s="130"/>
      <c r="B449" s="131"/>
      <c r="C449" s="132"/>
      <c r="D449" s="133"/>
      <c r="E449" s="126"/>
      <c r="F449" s="134"/>
      <c r="G449" s="126"/>
      <c r="H449" s="340" t="s">
        <v>96</v>
      </c>
      <c r="I449" s="140" t="s">
        <v>348</v>
      </c>
      <c r="J449" s="124" t="s">
        <v>265</v>
      </c>
      <c r="K449" s="137"/>
      <c r="L449" s="231"/>
      <c r="M449" s="136" t="s">
        <v>348</v>
      </c>
      <c r="N449" s="124" t="s">
        <v>293</v>
      </c>
      <c r="O449" s="232"/>
      <c r="P449" s="232"/>
      <c r="Q449" s="136" t="s">
        <v>348</v>
      </c>
      <c r="R449" s="124" t="s">
        <v>294</v>
      </c>
      <c r="S449" s="232"/>
      <c r="T449" s="232"/>
      <c r="U449" s="136" t="s">
        <v>348</v>
      </c>
      <c r="V449" s="124" t="s">
        <v>295</v>
      </c>
      <c r="W449" s="232"/>
      <c r="X449" s="213"/>
      <c r="Y449" s="136" t="s">
        <v>348</v>
      </c>
      <c r="Z449" s="124" t="s">
        <v>215</v>
      </c>
      <c r="AA449" s="124"/>
      <c r="AB449" s="139"/>
      <c r="AC449" s="311"/>
      <c r="AD449" s="312"/>
      <c r="AE449" s="312"/>
      <c r="AF449" s="313"/>
      <c r="AG449" s="119" t="str">
        <f>"ser_code = '" &amp; IF(A459="■","2B","") &amp; "'"</f>
        <v>ser_code = ''</v>
      </c>
      <c r="AH449" s="119" t="str">
        <f>"2B:jininkbn_code:"&amp;IF(F459="■",1,IF(F460="■",2,0))</f>
        <v>2B:jininkbn_code:0</v>
      </c>
      <c r="AI449" s="119" t="str">
        <f>"2B:yakan_kinmu_code:" &amp; IF(I449="■",1,IF(M449="■",2,IF(Q449="■",3,IF(U449="■",7,IF(I450="■",5,IF(M450="■",6,0))))))</f>
        <v>2B:yakan_kinmu_code:0</v>
      </c>
      <c r="AJ449" s="119" t="str">
        <f>"2B:field203:" &amp; IF(Y449="■",1,IF(Y450="■",2,0))</f>
        <v>2B:field203:0</v>
      </c>
    </row>
    <row r="450" spans="1:36" ht="18.75" customHeight="1" x14ac:dyDescent="0.15">
      <c r="A450" s="107"/>
      <c r="B450" s="108"/>
      <c r="C450" s="109"/>
      <c r="D450" s="110"/>
      <c r="E450" s="111"/>
      <c r="F450" s="112"/>
      <c r="G450" s="111"/>
      <c r="H450" s="371"/>
      <c r="I450" s="128" t="s">
        <v>348</v>
      </c>
      <c r="J450" s="115" t="s">
        <v>296</v>
      </c>
      <c r="K450" s="166"/>
      <c r="L450" s="116"/>
      <c r="M450" s="191" t="s">
        <v>348</v>
      </c>
      <c r="N450" s="115" t="s">
        <v>266</v>
      </c>
      <c r="O450" s="144"/>
      <c r="P450" s="144"/>
      <c r="Q450" s="144"/>
      <c r="R450" s="144"/>
      <c r="S450" s="144"/>
      <c r="T450" s="144"/>
      <c r="U450" s="144"/>
      <c r="V450" s="144"/>
      <c r="W450" s="144"/>
      <c r="X450" s="226"/>
      <c r="Y450" s="123" t="s">
        <v>348</v>
      </c>
      <c r="Z450" s="104" t="s">
        <v>221</v>
      </c>
      <c r="AA450" s="105"/>
      <c r="AB450" s="106"/>
      <c r="AC450" s="314"/>
      <c r="AD450" s="315"/>
      <c r="AE450" s="315"/>
      <c r="AF450" s="316"/>
      <c r="AG450" s="119" t="str">
        <f>"2B:sisetukbn_code:"&amp;IF(D459="■","6",0)</f>
        <v>2B:sisetukbn_code:0</v>
      </c>
      <c r="AH450" s="119"/>
      <c r="AI450" s="119"/>
      <c r="AJ450" s="119"/>
    </row>
    <row r="451" spans="1:36" ht="18.75" customHeight="1" x14ac:dyDescent="0.15">
      <c r="A451" s="107"/>
      <c r="B451" s="108"/>
      <c r="C451" s="109"/>
      <c r="D451" s="110"/>
      <c r="E451" s="111"/>
      <c r="F451" s="112"/>
      <c r="G451" s="111"/>
      <c r="H451" s="370" t="s">
        <v>92</v>
      </c>
      <c r="I451" s="194" t="s">
        <v>348</v>
      </c>
      <c r="J451" s="160" t="s">
        <v>216</v>
      </c>
      <c r="K451" s="160"/>
      <c r="L451" s="205"/>
      <c r="M451" s="195" t="s">
        <v>348</v>
      </c>
      <c r="N451" s="160" t="s">
        <v>254</v>
      </c>
      <c r="O451" s="160"/>
      <c r="P451" s="205"/>
      <c r="Q451" s="195" t="s">
        <v>348</v>
      </c>
      <c r="R451" s="198" t="s">
        <v>337</v>
      </c>
      <c r="S451" s="198"/>
      <c r="T451" s="198"/>
      <c r="U451" s="241"/>
      <c r="V451" s="205"/>
      <c r="W451" s="198"/>
      <c r="X451" s="242"/>
      <c r="Y451" s="147"/>
      <c r="Z451" s="105"/>
      <c r="AA451" s="105"/>
      <c r="AB451" s="106"/>
      <c r="AC451" s="314"/>
      <c r="AD451" s="315"/>
      <c r="AE451" s="315"/>
      <c r="AF451" s="316"/>
      <c r="AI451" s="119" t="str">
        <f>"2B:"&amp;IF(AND(I451="□",M451="□",Q451="□",I452="□",M452="□"),"ketu_doctor_code:0",IF(I451="■","ketu_doctor_code:1:field197:1:ketu_kangos_code:1:ketu_kshoku_code:1",IF(M451="■","ketu_doctor_code:2","ketu_doctor_code:1")
&amp;IF(Q451="■",":field197:2",":field197:1")
&amp;IF(I452="■",":ketu_kangos_code:2",":ketu_kangos_code:1")
&amp;IF(M452="■",":ketu_kshoku_code:2",":ketu_kshoku_code:1")))</f>
        <v>2B:ketu_doctor_code:0</v>
      </c>
    </row>
    <row r="452" spans="1:36" ht="18.75" customHeight="1" x14ac:dyDescent="0.15">
      <c r="A452" s="107"/>
      <c r="B452" s="108"/>
      <c r="C452" s="109"/>
      <c r="D452" s="110"/>
      <c r="E452" s="111"/>
      <c r="F452" s="112"/>
      <c r="G452" s="111"/>
      <c r="H452" s="371"/>
      <c r="I452" s="128" t="s">
        <v>348</v>
      </c>
      <c r="J452" s="144" t="s">
        <v>338</v>
      </c>
      <c r="K452" s="144"/>
      <c r="L452" s="144"/>
      <c r="M452" s="191" t="s">
        <v>348</v>
      </c>
      <c r="N452" s="144" t="s">
        <v>339</v>
      </c>
      <c r="O452" s="116"/>
      <c r="P452" s="144"/>
      <c r="Q452" s="144"/>
      <c r="R452" s="116"/>
      <c r="S452" s="144"/>
      <c r="T452" s="144"/>
      <c r="U452" s="145"/>
      <c r="V452" s="116"/>
      <c r="W452" s="144"/>
      <c r="X452" s="146"/>
      <c r="Y452" s="147"/>
      <c r="Z452" s="105"/>
      <c r="AA452" s="105"/>
      <c r="AB452" s="106"/>
      <c r="AC452" s="314"/>
      <c r="AD452" s="315"/>
      <c r="AE452" s="315"/>
      <c r="AF452" s="316"/>
      <c r="AI452" s="119"/>
    </row>
    <row r="453" spans="1:36" ht="18.75" customHeight="1" x14ac:dyDescent="0.15">
      <c r="A453" s="107"/>
      <c r="B453" s="108"/>
      <c r="C453" s="109"/>
      <c r="D453" s="110"/>
      <c r="E453" s="111"/>
      <c r="F453" s="112"/>
      <c r="G453" s="111"/>
      <c r="H453" s="230" t="s">
        <v>97</v>
      </c>
      <c r="I453" s="194" t="s">
        <v>348</v>
      </c>
      <c r="J453" s="149" t="s">
        <v>230</v>
      </c>
      <c r="K453" s="150"/>
      <c r="L453" s="151"/>
      <c r="M453" s="152" t="s">
        <v>348</v>
      </c>
      <c r="N453" s="149" t="s">
        <v>231</v>
      </c>
      <c r="O453" s="154"/>
      <c r="P453" s="154"/>
      <c r="Q453" s="154"/>
      <c r="R453" s="154"/>
      <c r="S453" s="154"/>
      <c r="T453" s="154"/>
      <c r="U453" s="154"/>
      <c r="V453" s="154"/>
      <c r="W453" s="154"/>
      <c r="X453" s="155"/>
      <c r="Y453" s="147"/>
      <c r="Z453" s="105"/>
      <c r="AA453" s="105"/>
      <c r="AB453" s="106"/>
      <c r="AC453" s="314"/>
      <c r="AD453" s="315"/>
      <c r="AE453" s="315"/>
      <c r="AF453" s="316"/>
      <c r="AI453" s="119" t="str">
        <f>"2B:unitcare_code:" &amp; IF(I453="■",1,IF(M453="■",2,0))</f>
        <v>2B:unitcare_code:0</v>
      </c>
    </row>
    <row r="454" spans="1:36" s="119" customFormat="1" ht="18.75" customHeight="1" x14ac:dyDescent="0.15">
      <c r="A454" s="107"/>
      <c r="B454" s="108"/>
      <c r="C454" s="238"/>
      <c r="D454" s="239"/>
      <c r="E454" s="111"/>
      <c r="F454" s="112"/>
      <c r="G454" s="113"/>
      <c r="H454" s="230" t="s">
        <v>103</v>
      </c>
      <c r="I454" s="148" t="s">
        <v>348</v>
      </c>
      <c r="J454" s="149" t="s">
        <v>360</v>
      </c>
      <c r="K454" s="150"/>
      <c r="L454" s="151"/>
      <c r="M454" s="152" t="s">
        <v>348</v>
      </c>
      <c r="N454" s="149" t="s">
        <v>361</v>
      </c>
      <c r="O454" s="150"/>
      <c r="P454" s="150"/>
      <c r="Q454" s="150"/>
      <c r="R454" s="150"/>
      <c r="S454" s="150"/>
      <c r="T454" s="150"/>
      <c r="U454" s="150"/>
      <c r="V454" s="150"/>
      <c r="W454" s="150"/>
      <c r="X454" s="159"/>
      <c r="Y454" s="147"/>
      <c r="Z454" s="105"/>
      <c r="AA454" s="105"/>
      <c r="AB454" s="106"/>
      <c r="AC454" s="314"/>
      <c r="AD454" s="315"/>
      <c r="AE454" s="315"/>
      <c r="AF454" s="316"/>
      <c r="AI454" s="119" t="str">
        <f>"2B:sintaikousoku_code:" &amp; IF(I454="■",1,IF(M454="■",2,0))</f>
        <v>2B:sintaikousoku_code:0</v>
      </c>
    </row>
    <row r="455" spans="1:36" ht="19.5" customHeight="1" x14ac:dyDescent="0.15">
      <c r="A455" s="107"/>
      <c r="B455" s="108"/>
      <c r="C455" s="109"/>
      <c r="D455" s="110"/>
      <c r="E455" s="111"/>
      <c r="F455" s="112"/>
      <c r="G455" s="113"/>
      <c r="H455" s="114" t="s">
        <v>369</v>
      </c>
      <c r="I455" s="194" t="s">
        <v>348</v>
      </c>
      <c r="J455" s="149" t="s">
        <v>360</v>
      </c>
      <c r="K455" s="150"/>
      <c r="L455" s="151"/>
      <c r="M455" s="152" t="s">
        <v>348</v>
      </c>
      <c r="N455" s="149" t="s">
        <v>370</v>
      </c>
      <c r="O455" s="149"/>
      <c r="P455" s="149"/>
      <c r="Q455" s="154"/>
      <c r="R455" s="154"/>
      <c r="S455" s="154"/>
      <c r="T455" s="154"/>
      <c r="U455" s="154"/>
      <c r="V455" s="154"/>
      <c r="W455" s="154"/>
      <c r="X455" s="155"/>
      <c r="Y455" s="105"/>
      <c r="Z455" s="105"/>
      <c r="AA455" s="105"/>
      <c r="AB455" s="106"/>
      <c r="AC455" s="314"/>
      <c r="AD455" s="315"/>
      <c r="AE455" s="315"/>
      <c r="AF455" s="316"/>
      <c r="AI455" s="119" t="str">
        <f>"2B:field223:" &amp; IF(I455="■",1,IF(M455="■",2,0))</f>
        <v>2B:field223:0</v>
      </c>
    </row>
    <row r="456" spans="1:36" ht="19.5" customHeight="1" x14ac:dyDescent="0.15">
      <c r="A456" s="107"/>
      <c r="B456" s="108"/>
      <c r="C456" s="109"/>
      <c r="D456" s="110"/>
      <c r="E456" s="111"/>
      <c r="F456" s="112"/>
      <c r="G456" s="113"/>
      <c r="H456" s="114" t="s">
        <v>390</v>
      </c>
      <c r="I456" s="194" t="s">
        <v>348</v>
      </c>
      <c r="J456" s="149" t="s">
        <v>360</v>
      </c>
      <c r="K456" s="150"/>
      <c r="L456" s="151"/>
      <c r="M456" s="152" t="s">
        <v>348</v>
      </c>
      <c r="N456" s="149" t="s">
        <v>370</v>
      </c>
      <c r="O456" s="149"/>
      <c r="P456" s="149"/>
      <c r="Q456" s="154"/>
      <c r="R456" s="154"/>
      <c r="S456" s="154"/>
      <c r="T456" s="154"/>
      <c r="U456" s="154"/>
      <c r="V456" s="154"/>
      <c r="W456" s="154"/>
      <c r="X456" s="155"/>
      <c r="Y456" s="105"/>
      <c r="Z456" s="105"/>
      <c r="AA456" s="105"/>
      <c r="AB456" s="106"/>
      <c r="AC456" s="314"/>
      <c r="AD456" s="315"/>
      <c r="AE456" s="315"/>
      <c r="AF456" s="316"/>
      <c r="AI456" s="119" t="str">
        <f>"2B:field232:" &amp; IF(I456="■",1,IF(M456="■",2,0))</f>
        <v>2B:field232:0</v>
      </c>
    </row>
    <row r="457" spans="1:36" ht="18.75" customHeight="1" x14ac:dyDescent="0.15">
      <c r="A457" s="107"/>
      <c r="B457" s="108"/>
      <c r="C457" s="109"/>
      <c r="D457" s="110"/>
      <c r="E457" s="111"/>
      <c r="F457" s="112"/>
      <c r="G457" s="111"/>
      <c r="H457" s="230" t="s">
        <v>149</v>
      </c>
      <c r="I457" s="194" t="s">
        <v>348</v>
      </c>
      <c r="J457" s="149" t="s">
        <v>265</v>
      </c>
      <c r="K457" s="150"/>
      <c r="L457" s="151"/>
      <c r="M457" s="152" t="s">
        <v>348</v>
      </c>
      <c r="N457" s="149" t="s">
        <v>297</v>
      </c>
      <c r="O457" s="154"/>
      <c r="P457" s="154"/>
      <c r="Q457" s="154"/>
      <c r="R457" s="154"/>
      <c r="S457" s="154"/>
      <c r="T457" s="154"/>
      <c r="U457" s="154"/>
      <c r="V457" s="154"/>
      <c r="W457" s="154"/>
      <c r="X457" s="155"/>
      <c r="Y457" s="147"/>
      <c r="Z457" s="105"/>
      <c r="AA457" s="105"/>
      <c r="AB457" s="106"/>
      <c r="AC457" s="314"/>
      <c r="AD457" s="315"/>
      <c r="AE457" s="315"/>
      <c r="AF457" s="316"/>
      <c r="AI457" s="119" t="str">
        <f>"2B:field190:" &amp; IF(I457="■",1,IF(M457="■",2,0))</f>
        <v>2B:field190:0</v>
      </c>
    </row>
    <row r="458" spans="1:36" ht="18.75" customHeight="1" x14ac:dyDescent="0.15">
      <c r="A458" s="107"/>
      <c r="B458" s="108"/>
      <c r="C458" s="109"/>
      <c r="D458" s="110"/>
      <c r="E458" s="111"/>
      <c r="F458" s="112"/>
      <c r="G458" s="111"/>
      <c r="H458" s="230" t="s">
        <v>150</v>
      </c>
      <c r="I458" s="194" t="s">
        <v>348</v>
      </c>
      <c r="J458" s="149" t="s">
        <v>265</v>
      </c>
      <c r="K458" s="150"/>
      <c r="L458" s="151"/>
      <c r="M458" s="152" t="s">
        <v>348</v>
      </c>
      <c r="N458" s="149" t="s">
        <v>297</v>
      </c>
      <c r="O458" s="154"/>
      <c r="P458" s="154"/>
      <c r="Q458" s="154"/>
      <c r="R458" s="154"/>
      <c r="S458" s="154"/>
      <c r="T458" s="154"/>
      <c r="U458" s="154"/>
      <c r="V458" s="154"/>
      <c r="W458" s="154"/>
      <c r="X458" s="155"/>
      <c r="Y458" s="147"/>
      <c r="Z458" s="105"/>
      <c r="AA458" s="105"/>
      <c r="AB458" s="106"/>
      <c r="AC458" s="314"/>
      <c r="AD458" s="315"/>
      <c r="AE458" s="315"/>
      <c r="AF458" s="316"/>
      <c r="AI458" s="119" t="str">
        <f>"2B:field191:" &amp; IF(I458="■",1,IF(M458="■",2,0))</f>
        <v>2B:field191:0</v>
      </c>
    </row>
    <row r="459" spans="1:36" ht="18.75" customHeight="1" x14ac:dyDescent="0.15">
      <c r="A459" s="128" t="s">
        <v>348</v>
      </c>
      <c r="B459" s="108" t="s">
        <v>436</v>
      </c>
      <c r="C459" s="109" t="s">
        <v>427</v>
      </c>
      <c r="D459" s="128" t="s">
        <v>348</v>
      </c>
      <c r="E459" s="111" t="s">
        <v>347</v>
      </c>
      <c r="F459" s="128" t="s">
        <v>348</v>
      </c>
      <c r="G459" s="111" t="s">
        <v>344</v>
      </c>
      <c r="H459" s="230" t="s">
        <v>424</v>
      </c>
      <c r="I459" s="194" t="s">
        <v>348</v>
      </c>
      <c r="J459" s="149" t="s">
        <v>216</v>
      </c>
      <c r="K459" s="150"/>
      <c r="L459" s="152" t="s">
        <v>348</v>
      </c>
      <c r="M459" s="149" t="s">
        <v>232</v>
      </c>
      <c r="N459" s="154"/>
      <c r="O459" s="154"/>
      <c r="P459" s="154"/>
      <c r="Q459" s="154"/>
      <c r="R459" s="154"/>
      <c r="S459" s="154"/>
      <c r="T459" s="154"/>
      <c r="U459" s="154"/>
      <c r="V459" s="154"/>
      <c r="W459" s="154"/>
      <c r="X459" s="155"/>
      <c r="Y459" s="147"/>
      <c r="Z459" s="105"/>
      <c r="AA459" s="105"/>
      <c r="AB459" s="106"/>
      <c r="AC459" s="314"/>
      <c r="AD459" s="315"/>
      <c r="AE459" s="315"/>
      <c r="AF459" s="316"/>
      <c r="AI459" s="119" t="str">
        <f>"2B:jyakuninti_uke_code:" &amp; IF(I459="■",1,IF(L459="■",2,0))</f>
        <v>2B:jyakuninti_uke_code:0</v>
      </c>
    </row>
    <row r="460" spans="1:36" ht="18.75" customHeight="1" x14ac:dyDescent="0.15">
      <c r="A460" s="107"/>
      <c r="B460" s="108"/>
      <c r="C460" s="109"/>
      <c r="D460" s="110"/>
      <c r="E460" s="111"/>
      <c r="F460" s="128" t="s">
        <v>348</v>
      </c>
      <c r="G460" s="111" t="s">
        <v>330</v>
      </c>
      <c r="H460" s="230" t="s">
        <v>94</v>
      </c>
      <c r="I460" s="194" t="s">
        <v>348</v>
      </c>
      <c r="J460" s="149" t="s">
        <v>230</v>
      </c>
      <c r="K460" s="150"/>
      <c r="L460" s="151"/>
      <c r="M460" s="152" t="s">
        <v>348</v>
      </c>
      <c r="N460" s="149" t="s">
        <v>231</v>
      </c>
      <c r="O460" s="154"/>
      <c r="P460" s="154"/>
      <c r="Q460" s="154"/>
      <c r="R460" s="154"/>
      <c r="S460" s="154"/>
      <c r="T460" s="154"/>
      <c r="U460" s="154"/>
      <c r="V460" s="154"/>
      <c r="W460" s="154"/>
      <c r="X460" s="155"/>
      <c r="Y460" s="147"/>
      <c r="Z460" s="105"/>
      <c r="AA460" s="105"/>
      <c r="AB460" s="106"/>
      <c r="AC460" s="314"/>
      <c r="AD460" s="315"/>
      <c r="AE460" s="315"/>
      <c r="AF460" s="316"/>
      <c r="AI460" s="119" t="str">
        <f>"2B:sougei_code:" &amp; IF(I460="■",1,IF(M460="■",2,0))</f>
        <v>2B:sougei_code:0</v>
      </c>
    </row>
    <row r="461" spans="1:36" ht="19.5" customHeight="1" x14ac:dyDescent="0.15">
      <c r="A461" s="107"/>
      <c r="B461" s="108"/>
      <c r="C461" s="109"/>
      <c r="D461" s="110"/>
      <c r="E461" s="111"/>
      <c r="F461" s="112"/>
      <c r="G461" s="113"/>
      <c r="H461" s="114" t="s">
        <v>372</v>
      </c>
      <c r="I461" s="194" t="s">
        <v>348</v>
      </c>
      <c r="J461" s="149" t="s">
        <v>216</v>
      </c>
      <c r="K461" s="149"/>
      <c r="L461" s="152" t="s">
        <v>348</v>
      </c>
      <c r="M461" s="149" t="s">
        <v>232</v>
      </c>
      <c r="N461" s="149"/>
      <c r="O461" s="154"/>
      <c r="P461" s="149"/>
      <c r="Q461" s="154"/>
      <c r="R461" s="154"/>
      <c r="S461" s="154"/>
      <c r="T461" s="154"/>
      <c r="U461" s="154"/>
      <c r="V461" s="154"/>
      <c r="W461" s="154"/>
      <c r="X461" s="155"/>
      <c r="Y461" s="105"/>
      <c r="Z461" s="105"/>
      <c r="AA461" s="105"/>
      <c r="AB461" s="106"/>
      <c r="AC461" s="314"/>
      <c r="AD461" s="315"/>
      <c r="AE461" s="315"/>
      <c r="AF461" s="316"/>
      <c r="AI461" s="119" t="str">
        <f>"2B:field224:" &amp; IF(I461="■",1,IF(L461="■",2,0))</f>
        <v>2B:field224:0</v>
      </c>
    </row>
    <row r="462" spans="1:36" ht="18.75" customHeight="1" x14ac:dyDescent="0.15">
      <c r="A462" s="107"/>
      <c r="B462" s="108"/>
      <c r="C462" s="109"/>
      <c r="D462" s="110"/>
      <c r="E462" s="111"/>
      <c r="F462" s="112"/>
      <c r="G462" s="111"/>
      <c r="H462" s="230" t="s">
        <v>106</v>
      </c>
      <c r="I462" s="194" t="s">
        <v>348</v>
      </c>
      <c r="J462" s="149" t="s">
        <v>216</v>
      </c>
      <c r="K462" s="150"/>
      <c r="L462" s="152" t="s">
        <v>348</v>
      </c>
      <c r="M462" s="149" t="s">
        <v>232</v>
      </c>
      <c r="N462" s="154"/>
      <c r="O462" s="154"/>
      <c r="P462" s="154"/>
      <c r="Q462" s="154"/>
      <c r="R462" s="154"/>
      <c r="S462" s="154"/>
      <c r="T462" s="154"/>
      <c r="U462" s="154"/>
      <c r="V462" s="154"/>
      <c r="W462" s="154"/>
      <c r="X462" s="155"/>
      <c r="Y462" s="147"/>
      <c r="Z462" s="105"/>
      <c r="AA462" s="105"/>
      <c r="AB462" s="106"/>
      <c r="AC462" s="314"/>
      <c r="AD462" s="315"/>
      <c r="AE462" s="315"/>
      <c r="AF462" s="316"/>
      <c r="AI462" s="119" t="str">
        <f>"2B:ryouyoushoku_code:" &amp; IF(I462="■",1,IF(L462="■",2,0))</f>
        <v>2B:ryouyoushoku_code:0</v>
      </c>
    </row>
    <row r="463" spans="1:36" ht="18.75" customHeight="1" x14ac:dyDescent="0.15">
      <c r="A463" s="107"/>
      <c r="B463" s="108"/>
      <c r="C463" s="109"/>
      <c r="D463" s="110"/>
      <c r="E463" s="111"/>
      <c r="F463" s="112"/>
      <c r="G463" s="111"/>
      <c r="H463" s="230" t="s">
        <v>109</v>
      </c>
      <c r="I463" s="194" t="s">
        <v>348</v>
      </c>
      <c r="J463" s="149" t="s">
        <v>216</v>
      </c>
      <c r="K463" s="149"/>
      <c r="L463" s="152" t="s">
        <v>348</v>
      </c>
      <c r="M463" s="149" t="s">
        <v>217</v>
      </c>
      <c r="N463" s="149"/>
      <c r="O463" s="152" t="s">
        <v>348</v>
      </c>
      <c r="P463" s="149" t="s">
        <v>218</v>
      </c>
      <c r="Q463" s="154"/>
      <c r="R463" s="154"/>
      <c r="S463" s="154"/>
      <c r="T463" s="154"/>
      <c r="U463" s="154"/>
      <c r="V463" s="154"/>
      <c r="W463" s="154"/>
      <c r="X463" s="155"/>
      <c r="Y463" s="147"/>
      <c r="Z463" s="105"/>
      <c r="AA463" s="105"/>
      <c r="AB463" s="106"/>
      <c r="AC463" s="314"/>
      <c r="AD463" s="315"/>
      <c r="AE463" s="315"/>
      <c r="AF463" s="316"/>
      <c r="AI463" s="119" t="str">
        <f>"2B:ninti_senmoncare_code:" &amp; IF(I463="■",1,IF(O463="■",3,IF(L463="■",2,0)))</f>
        <v>2B:ninti_senmoncare_code:0</v>
      </c>
    </row>
    <row r="464" spans="1:36" ht="18.75" customHeight="1" x14ac:dyDescent="0.15">
      <c r="A464" s="107"/>
      <c r="B464" s="108"/>
      <c r="C464" s="109"/>
      <c r="D464" s="110"/>
      <c r="E464" s="111"/>
      <c r="F464" s="112"/>
      <c r="G464" s="111"/>
      <c r="H464" s="240" t="s">
        <v>385</v>
      </c>
      <c r="I464" s="194" t="s">
        <v>348</v>
      </c>
      <c r="J464" s="149" t="s">
        <v>216</v>
      </c>
      <c r="K464" s="149"/>
      <c r="L464" s="152" t="s">
        <v>348</v>
      </c>
      <c r="M464" s="149" t="s">
        <v>217</v>
      </c>
      <c r="N464" s="149"/>
      <c r="O464" s="152" t="s">
        <v>348</v>
      </c>
      <c r="P464" s="149" t="s">
        <v>218</v>
      </c>
      <c r="Q464" s="154"/>
      <c r="R464" s="154"/>
      <c r="S464" s="154"/>
      <c r="T464" s="154"/>
      <c r="U464" s="241"/>
      <c r="V464" s="241"/>
      <c r="W464" s="241"/>
      <c r="X464" s="242"/>
      <c r="Y464" s="147"/>
      <c r="Z464" s="105"/>
      <c r="AA464" s="105"/>
      <c r="AB464" s="106"/>
      <c r="AC464" s="314"/>
      <c r="AD464" s="315"/>
      <c r="AE464" s="315"/>
      <c r="AF464" s="316"/>
      <c r="AI464" s="119" t="str">
        <f>"2B:field225:" &amp; IF(I464="■",1,IF(L464="■",2,IF(O464="■",3,0)))</f>
        <v>2B:field225:0</v>
      </c>
    </row>
    <row r="465" spans="1:37" ht="18.75" customHeight="1" x14ac:dyDescent="0.15">
      <c r="A465" s="107"/>
      <c r="B465" s="108"/>
      <c r="C465" s="109"/>
      <c r="D465" s="110"/>
      <c r="E465" s="111"/>
      <c r="F465" s="112"/>
      <c r="G465" s="111"/>
      <c r="H465" s="230" t="s">
        <v>111</v>
      </c>
      <c r="I465" s="194" t="s">
        <v>348</v>
      </c>
      <c r="J465" s="149" t="s">
        <v>216</v>
      </c>
      <c r="K465" s="149"/>
      <c r="L465" s="152" t="s">
        <v>348</v>
      </c>
      <c r="M465" s="149" t="s">
        <v>224</v>
      </c>
      <c r="N465" s="149"/>
      <c r="O465" s="152" t="s">
        <v>348</v>
      </c>
      <c r="P465" s="149" t="s">
        <v>225</v>
      </c>
      <c r="Q465" s="196"/>
      <c r="R465" s="152" t="s">
        <v>348</v>
      </c>
      <c r="S465" s="149" t="s">
        <v>248</v>
      </c>
      <c r="T465" s="196"/>
      <c r="U465" s="196"/>
      <c r="V465" s="196"/>
      <c r="W465" s="196"/>
      <c r="X465" s="197"/>
      <c r="Y465" s="147"/>
      <c r="Z465" s="105"/>
      <c r="AA465" s="105"/>
      <c r="AB465" s="106"/>
      <c r="AC465" s="314"/>
      <c r="AD465" s="315"/>
      <c r="AE465" s="315"/>
      <c r="AF465" s="316"/>
      <c r="AI465" s="119" t="str">
        <f>"2B:serteikyo_kyoka_code:" &amp; IF(I465="■",1,IF(L465="■",6,IF(O465="■",5,IF(R465="■",7,0))))</f>
        <v>2B:serteikyo_kyoka_code:0</v>
      </c>
    </row>
    <row r="466" spans="1:37" ht="18.75" customHeight="1" x14ac:dyDescent="0.15">
      <c r="A466" s="107"/>
      <c r="B466" s="108"/>
      <c r="C466" s="109"/>
      <c r="D466" s="110"/>
      <c r="E466" s="111"/>
      <c r="F466" s="112"/>
      <c r="G466" s="111"/>
      <c r="H466" s="329" t="s">
        <v>409</v>
      </c>
      <c r="I466" s="360" t="s">
        <v>348</v>
      </c>
      <c r="J466" s="359" t="s">
        <v>216</v>
      </c>
      <c r="K466" s="359"/>
      <c r="L466" s="360" t="s">
        <v>348</v>
      </c>
      <c r="M466" s="359" t="s">
        <v>232</v>
      </c>
      <c r="N466" s="359"/>
      <c r="O466" s="198"/>
      <c r="P466" s="198"/>
      <c r="Q466" s="198"/>
      <c r="R466" s="198"/>
      <c r="S466" s="198"/>
      <c r="T466" s="198"/>
      <c r="U466" s="198"/>
      <c r="V466" s="198"/>
      <c r="W466" s="198"/>
      <c r="X466" s="199"/>
      <c r="Y466" s="147"/>
      <c r="Z466" s="105"/>
      <c r="AA466" s="105"/>
      <c r="AB466" s="106"/>
      <c r="AC466" s="314"/>
      <c r="AD466" s="315"/>
      <c r="AE466" s="315"/>
      <c r="AF466" s="316"/>
      <c r="AI466" s="119" t="str">
        <f>"2B:field221:" &amp; IF(I466="■",1,IF(L466="■",2,0))</f>
        <v>2B:field221:0</v>
      </c>
    </row>
    <row r="467" spans="1:37" ht="18.75" customHeight="1" x14ac:dyDescent="0.15">
      <c r="A467" s="107"/>
      <c r="B467" s="108"/>
      <c r="C467" s="109"/>
      <c r="D467" s="110"/>
      <c r="E467" s="111"/>
      <c r="F467" s="112"/>
      <c r="G467" s="111"/>
      <c r="H467" s="328"/>
      <c r="I467" s="360"/>
      <c r="J467" s="359"/>
      <c r="K467" s="359"/>
      <c r="L467" s="360"/>
      <c r="M467" s="359"/>
      <c r="N467" s="359"/>
      <c r="O467" s="144"/>
      <c r="P467" s="144"/>
      <c r="Q467" s="144"/>
      <c r="R467" s="144"/>
      <c r="S467" s="144"/>
      <c r="T467" s="144"/>
      <c r="U467" s="144"/>
      <c r="V467" s="144"/>
      <c r="W467" s="144"/>
      <c r="X467" s="226"/>
      <c r="Y467" s="147"/>
      <c r="Z467" s="105"/>
      <c r="AA467" s="105"/>
      <c r="AB467" s="106"/>
      <c r="AC467" s="314"/>
      <c r="AD467" s="315"/>
      <c r="AE467" s="315"/>
      <c r="AF467" s="316"/>
    </row>
    <row r="468" spans="1:37" ht="18.75" customHeight="1" x14ac:dyDescent="0.15">
      <c r="A468" s="170"/>
      <c r="B468" s="171"/>
      <c r="C468" s="172"/>
      <c r="D468" s="173"/>
      <c r="E468" s="174"/>
      <c r="F468" s="175"/>
      <c r="G468" s="176"/>
      <c r="H468" s="95" t="s">
        <v>405</v>
      </c>
      <c r="I468" s="177" t="s">
        <v>348</v>
      </c>
      <c r="J468" s="96" t="s">
        <v>216</v>
      </c>
      <c r="K468" s="96"/>
      <c r="L468" s="178" t="s">
        <v>348</v>
      </c>
      <c r="M468" s="96" t="s">
        <v>373</v>
      </c>
      <c r="N468" s="97"/>
      <c r="O468" s="178" t="s">
        <v>348</v>
      </c>
      <c r="P468" s="99" t="s">
        <v>374</v>
      </c>
      <c r="Q468" s="98"/>
      <c r="R468" s="178" t="s">
        <v>348</v>
      </c>
      <c r="S468" s="96" t="s">
        <v>375</v>
      </c>
      <c r="T468" s="98"/>
      <c r="U468" s="178" t="s">
        <v>348</v>
      </c>
      <c r="V468" s="96" t="s">
        <v>376</v>
      </c>
      <c r="W468" s="100"/>
      <c r="X468" s="101"/>
      <c r="Y468" s="179"/>
      <c r="Z468" s="179"/>
      <c r="AA468" s="179"/>
      <c r="AB468" s="180"/>
      <c r="AC468" s="351"/>
      <c r="AD468" s="352"/>
      <c r="AE468" s="352"/>
      <c r="AF468" s="353"/>
      <c r="AG468" s="119"/>
      <c r="AH468" s="119"/>
      <c r="AI468" s="119" t="str">
        <f>"2B:shoguukaizen_code:"&amp;IF(I468="■",1,IF(L468="■",7,IF(O468="■",8,IF(R468="■",9,IF(U468="■","A",0)))))</f>
        <v>2B:shoguukaizen_code:0</v>
      </c>
    </row>
    <row r="469" spans="1:37" ht="18.75" customHeight="1" x14ac:dyDescent="0.15">
      <c r="A469" s="130"/>
      <c r="B469" s="131"/>
      <c r="C469" s="220"/>
      <c r="D469" s="134"/>
      <c r="E469" s="126"/>
      <c r="F469" s="134"/>
      <c r="G469" s="126"/>
      <c r="H469" s="257" t="s">
        <v>92</v>
      </c>
      <c r="I469" s="194" t="s">
        <v>348</v>
      </c>
      <c r="J469" s="184" t="s">
        <v>216</v>
      </c>
      <c r="K469" s="184"/>
      <c r="L469" s="186"/>
      <c r="M469" s="187" t="s">
        <v>348</v>
      </c>
      <c r="N469" s="184" t="s">
        <v>246</v>
      </c>
      <c r="O469" s="184"/>
      <c r="P469" s="186"/>
      <c r="Q469" s="187" t="s">
        <v>348</v>
      </c>
      <c r="R469" s="222" t="s">
        <v>247</v>
      </c>
      <c r="S469" s="222"/>
      <c r="T469" s="185"/>
      <c r="U469" s="185"/>
      <c r="V469" s="185"/>
      <c r="W469" s="185"/>
      <c r="X469" s="250"/>
      <c r="Y469" s="140" t="s">
        <v>348</v>
      </c>
      <c r="Z469" s="124" t="s">
        <v>215</v>
      </c>
      <c r="AA469" s="124"/>
      <c r="AB469" s="139"/>
      <c r="AC469" s="136" t="s">
        <v>348</v>
      </c>
      <c r="AD469" s="124" t="s">
        <v>215</v>
      </c>
      <c r="AE469" s="124"/>
      <c r="AF469" s="139"/>
      <c r="AG469" s="119" t="str">
        <f>"ser_code = '" &amp; IF(A475="■",35,"") &amp; "'"</f>
        <v>ser_code = ''</v>
      </c>
      <c r="AH469" s="119" t="str">
        <f>"35:jininkbn_code:"&amp;IF(F474="■",1,IF(F475="■",2,0))</f>
        <v>35:jininkbn_code:0</v>
      </c>
      <c r="AI469" s="119" t="str">
        <f>"35:"&amp;IF(AND(I469="□",M469="□",Q469="□"),"ketu_kangos_code:0",IF(I469="■","ketu_kangos_code:1:ketu_kshoku_code:1",IF(M469="■","ketu_kangos_code:2","ketu_kangos_code:1")&amp;IF(Q469="■",":ketu_kshoku_code:2",":ketu_kshoku_code:1")))</f>
        <v>35:ketu_kangos_code:0</v>
      </c>
      <c r="AJ469" s="119" t="str">
        <f>"35:field203:" &amp; IF(Y469="■",1,IF(Y470="■",2,0))</f>
        <v>35:field203:0</v>
      </c>
      <c r="AK469" s="119" t="str">
        <f>"35:waribiki_code:" &amp; IF(AC469="■",1,IF(AC470="■",2,0))</f>
        <v>35:waribiki_code:0</v>
      </c>
    </row>
    <row r="470" spans="1:37" ht="18.75" customHeight="1" x14ac:dyDescent="0.15">
      <c r="A470" s="107"/>
      <c r="B470" s="108"/>
      <c r="C470" s="224"/>
      <c r="D470" s="112"/>
      <c r="E470" s="111"/>
      <c r="F470" s="112"/>
      <c r="G470" s="111"/>
      <c r="H470" s="192" t="s">
        <v>166</v>
      </c>
      <c r="I470" s="194" t="s">
        <v>348</v>
      </c>
      <c r="J470" s="149" t="s">
        <v>360</v>
      </c>
      <c r="K470" s="150"/>
      <c r="L470" s="151"/>
      <c r="M470" s="152" t="s">
        <v>348</v>
      </c>
      <c r="N470" s="149" t="s">
        <v>361</v>
      </c>
      <c r="O470" s="154"/>
      <c r="P470" s="154"/>
      <c r="Q470" s="149"/>
      <c r="R470" s="149"/>
      <c r="S470" s="149"/>
      <c r="T470" s="149"/>
      <c r="U470" s="149"/>
      <c r="V470" s="149"/>
      <c r="W470" s="149"/>
      <c r="X470" s="158"/>
      <c r="Y470" s="123" t="s">
        <v>348</v>
      </c>
      <c r="Z470" s="104" t="s">
        <v>221</v>
      </c>
      <c r="AA470" s="105"/>
      <c r="AB470" s="106"/>
      <c r="AC470" s="123" t="s">
        <v>348</v>
      </c>
      <c r="AD470" s="104" t="s">
        <v>221</v>
      </c>
      <c r="AE470" s="105"/>
      <c r="AF470" s="106"/>
      <c r="AG470" s="119" t="str">
        <f>"35:sisetukbn_code:" &amp; IF(D474="■",1,IF(D475="■",2,IF(D476="■",3,0)))</f>
        <v>35:sisetukbn_code:0</v>
      </c>
      <c r="AH470" s="119"/>
      <c r="AI470" s="119" t="str">
        <f>"35:sintaikousoku_code:" &amp; IF(I470="■",1,IF(M470="■",2,0))</f>
        <v>35:sintaikousoku_code:0</v>
      </c>
      <c r="AJ470" s="119"/>
      <c r="AK470" s="119"/>
    </row>
    <row r="471" spans="1:37" ht="19.5" customHeight="1" x14ac:dyDescent="0.15">
      <c r="A471" s="107"/>
      <c r="B471" s="108"/>
      <c r="C471" s="109"/>
      <c r="D471" s="110"/>
      <c r="E471" s="111"/>
      <c r="F471" s="112"/>
      <c r="G471" s="113"/>
      <c r="H471" s="114" t="s">
        <v>369</v>
      </c>
      <c r="I471" s="194" t="s">
        <v>348</v>
      </c>
      <c r="J471" s="149" t="s">
        <v>360</v>
      </c>
      <c r="K471" s="150"/>
      <c r="L471" s="151"/>
      <c r="M471" s="152" t="s">
        <v>348</v>
      </c>
      <c r="N471" s="149" t="s">
        <v>370</v>
      </c>
      <c r="O471" s="154"/>
      <c r="P471" s="149"/>
      <c r="Q471" s="154"/>
      <c r="R471" s="154"/>
      <c r="S471" s="154"/>
      <c r="T471" s="154"/>
      <c r="U471" s="154"/>
      <c r="V471" s="154"/>
      <c r="W471" s="154"/>
      <c r="X471" s="155"/>
      <c r="Y471" s="105"/>
      <c r="Z471" s="105"/>
      <c r="AA471" s="105"/>
      <c r="AB471" s="106"/>
      <c r="AC471" s="147"/>
      <c r="AD471" s="105"/>
      <c r="AE471" s="105"/>
      <c r="AF471" s="106"/>
      <c r="AI471" s="119" t="str">
        <f>"35:field223:" &amp; IF(I471="■",1,IF(M471="■",2,0))</f>
        <v>35:field223:0</v>
      </c>
    </row>
    <row r="472" spans="1:37" ht="19.5" customHeight="1" x14ac:dyDescent="0.15">
      <c r="A472" s="107"/>
      <c r="B472" s="108"/>
      <c r="C472" s="109"/>
      <c r="D472" s="110"/>
      <c r="E472" s="111"/>
      <c r="F472" s="112"/>
      <c r="G472" s="113"/>
      <c r="H472" s="114" t="s">
        <v>390</v>
      </c>
      <c r="I472" s="194" t="s">
        <v>348</v>
      </c>
      <c r="J472" s="149" t="s">
        <v>360</v>
      </c>
      <c r="K472" s="150"/>
      <c r="L472" s="151"/>
      <c r="M472" s="152" t="s">
        <v>348</v>
      </c>
      <c r="N472" s="149" t="s">
        <v>370</v>
      </c>
      <c r="O472" s="154"/>
      <c r="P472" s="149"/>
      <c r="Q472" s="154"/>
      <c r="R472" s="154"/>
      <c r="S472" s="154"/>
      <c r="T472" s="154"/>
      <c r="U472" s="154"/>
      <c r="V472" s="154"/>
      <c r="W472" s="154"/>
      <c r="X472" s="155"/>
      <c r="Y472" s="105"/>
      <c r="Z472" s="105"/>
      <c r="AA472" s="105"/>
      <c r="AB472" s="106"/>
      <c r="AC472" s="147"/>
      <c r="AD472" s="105"/>
      <c r="AE472" s="105"/>
      <c r="AF472" s="106"/>
      <c r="AI472" s="119" t="str">
        <f>"35:field232:" &amp; IF(I472="■",1,IF(M472="■",2,0))</f>
        <v>35:field232:0</v>
      </c>
    </row>
    <row r="473" spans="1:37" ht="18.75" customHeight="1" x14ac:dyDescent="0.15">
      <c r="A473" s="107"/>
      <c r="B473" s="108"/>
      <c r="C473" s="224"/>
      <c r="D473" s="112"/>
      <c r="E473" s="111"/>
      <c r="F473" s="112"/>
      <c r="G473" s="111"/>
      <c r="H473" s="157" t="s">
        <v>164</v>
      </c>
      <c r="I473" s="194" t="s">
        <v>348</v>
      </c>
      <c r="J473" s="149" t="s">
        <v>216</v>
      </c>
      <c r="K473" s="149"/>
      <c r="L473" s="152" t="s">
        <v>348</v>
      </c>
      <c r="M473" s="149" t="s">
        <v>233</v>
      </c>
      <c r="N473" s="149"/>
      <c r="O473" s="152" t="s">
        <v>348</v>
      </c>
      <c r="P473" s="149" t="s">
        <v>234</v>
      </c>
      <c r="Q473" s="149"/>
      <c r="R473" s="149"/>
      <c r="S473" s="149"/>
      <c r="T473" s="149"/>
      <c r="U473" s="149"/>
      <c r="V473" s="149"/>
      <c r="W473" s="149"/>
      <c r="X473" s="158"/>
      <c r="Y473" s="147"/>
      <c r="Z473" s="105"/>
      <c r="AA473" s="105"/>
      <c r="AB473" s="106"/>
      <c r="AC473" s="147"/>
      <c r="AD473" s="105"/>
      <c r="AE473" s="105"/>
      <c r="AF473" s="106"/>
      <c r="AI473" s="119" t="str">
        <f>"35:field185:" &amp; IF(I473="■",1,IF(L473="■",3,IF(O473="■",2,0)))</f>
        <v>35:field185:0</v>
      </c>
    </row>
    <row r="474" spans="1:37" ht="18.75" customHeight="1" x14ac:dyDescent="0.15">
      <c r="A474" s="107"/>
      <c r="B474" s="108"/>
      <c r="C474" s="224"/>
      <c r="D474" s="128" t="s">
        <v>348</v>
      </c>
      <c r="E474" s="111" t="s">
        <v>443</v>
      </c>
      <c r="F474" s="128" t="s">
        <v>348</v>
      </c>
      <c r="G474" s="111" t="s">
        <v>357</v>
      </c>
      <c r="H474" s="157" t="s">
        <v>202</v>
      </c>
      <c r="I474" s="194" t="s">
        <v>348</v>
      </c>
      <c r="J474" s="149" t="s">
        <v>216</v>
      </c>
      <c r="K474" s="150"/>
      <c r="L474" s="152" t="s">
        <v>348</v>
      </c>
      <c r="M474" s="149" t="s">
        <v>232</v>
      </c>
      <c r="N474" s="149"/>
      <c r="O474" s="149"/>
      <c r="P474" s="149"/>
      <c r="Q474" s="149"/>
      <c r="R474" s="149"/>
      <c r="S474" s="149"/>
      <c r="T474" s="149"/>
      <c r="U474" s="149"/>
      <c r="V474" s="149"/>
      <c r="W474" s="149"/>
      <c r="X474" s="158"/>
      <c r="Y474" s="147"/>
      <c r="Z474" s="105"/>
      <c r="AA474" s="105"/>
      <c r="AB474" s="106"/>
      <c r="AC474" s="147"/>
      <c r="AD474" s="105"/>
      <c r="AE474" s="105"/>
      <c r="AF474" s="106"/>
      <c r="AG474" s="280"/>
      <c r="AI474" s="119" t="str">
        <f>"35:kobetu_kunren_code:" &amp; IF(I474="■",1,IF(L474="■",2,0))</f>
        <v>35:kobetu_kunren_code:0</v>
      </c>
    </row>
    <row r="475" spans="1:37" ht="18.75" customHeight="1" x14ac:dyDescent="0.15">
      <c r="A475" s="128" t="s">
        <v>348</v>
      </c>
      <c r="B475" s="108">
        <v>35</v>
      </c>
      <c r="C475" s="224" t="s">
        <v>444</v>
      </c>
      <c r="D475" s="128" t="s">
        <v>348</v>
      </c>
      <c r="E475" s="111" t="s">
        <v>445</v>
      </c>
      <c r="F475" s="128" t="s">
        <v>348</v>
      </c>
      <c r="G475" s="111" t="s">
        <v>358</v>
      </c>
      <c r="H475" s="192" t="s">
        <v>167</v>
      </c>
      <c r="I475" s="194" t="s">
        <v>348</v>
      </c>
      <c r="J475" s="149" t="s">
        <v>216</v>
      </c>
      <c r="K475" s="150"/>
      <c r="L475" s="152" t="s">
        <v>348</v>
      </c>
      <c r="M475" s="149" t="s">
        <v>232</v>
      </c>
      <c r="N475" s="149"/>
      <c r="O475" s="149"/>
      <c r="P475" s="149"/>
      <c r="Q475" s="149"/>
      <c r="R475" s="149"/>
      <c r="S475" s="149"/>
      <c r="T475" s="149"/>
      <c r="U475" s="149"/>
      <c r="V475" s="149"/>
      <c r="W475" s="149"/>
      <c r="X475" s="158"/>
      <c r="Y475" s="147"/>
      <c r="Z475" s="105"/>
      <c r="AA475" s="105"/>
      <c r="AB475" s="106"/>
      <c r="AC475" s="147"/>
      <c r="AD475" s="105"/>
      <c r="AE475" s="105"/>
      <c r="AF475" s="106"/>
      <c r="AI475" s="119" t="str">
        <f>"35:jyakuninti_uke_code:" &amp; IF(I475="■",1,IF(L475="■",2,0))</f>
        <v>35:jyakuninti_uke_code:0</v>
      </c>
    </row>
    <row r="476" spans="1:37" ht="18.75" customHeight="1" x14ac:dyDescent="0.15">
      <c r="A476" s="107"/>
      <c r="B476" s="108"/>
      <c r="C476" s="224" t="s">
        <v>446</v>
      </c>
      <c r="D476" s="128" t="s">
        <v>348</v>
      </c>
      <c r="E476" s="111" t="s">
        <v>447</v>
      </c>
      <c r="F476" s="112"/>
      <c r="G476" s="111" t="s">
        <v>359</v>
      </c>
      <c r="H476" s="157" t="s">
        <v>175</v>
      </c>
      <c r="I476" s="194" t="s">
        <v>348</v>
      </c>
      <c r="J476" s="149" t="s">
        <v>216</v>
      </c>
      <c r="K476" s="150"/>
      <c r="L476" s="152" t="s">
        <v>348</v>
      </c>
      <c r="M476" s="149" t="s">
        <v>232</v>
      </c>
      <c r="N476" s="149"/>
      <c r="O476" s="149"/>
      <c r="P476" s="149"/>
      <c r="Q476" s="149"/>
      <c r="R476" s="149"/>
      <c r="S476" s="149"/>
      <c r="T476" s="149"/>
      <c r="U476" s="149"/>
      <c r="V476" s="149"/>
      <c r="W476" s="149"/>
      <c r="X476" s="158"/>
      <c r="Y476" s="147"/>
      <c r="Z476" s="105"/>
      <c r="AA476" s="105"/>
      <c r="AB476" s="106"/>
      <c r="AC476" s="147"/>
      <c r="AD476" s="105"/>
      <c r="AE476" s="105"/>
      <c r="AF476" s="106"/>
      <c r="AI476" s="119" t="str">
        <f>"35:field212:" &amp; IF(I476="■",1,IF(L476="■",2,0))</f>
        <v>35:field212:0</v>
      </c>
    </row>
    <row r="477" spans="1:37" ht="18.75" customHeight="1" x14ac:dyDescent="0.15">
      <c r="A477" s="107"/>
      <c r="B477" s="108"/>
      <c r="C477" s="224"/>
      <c r="D477" s="110"/>
      <c r="E477" s="111"/>
      <c r="F477" s="112"/>
      <c r="G477" s="113"/>
      <c r="H477" s="192" t="s">
        <v>109</v>
      </c>
      <c r="I477" s="194" t="s">
        <v>348</v>
      </c>
      <c r="J477" s="149" t="s">
        <v>216</v>
      </c>
      <c r="K477" s="149"/>
      <c r="L477" s="152" t="s">
        <v>348</v>
      </c>
      <c r="M477" s="149" t="s">
        <v>217</v>
      </c>
      <c r="N477" s="149"/>
      <c r="O477" s="152" t="s">
        <v>348</v>
      </c>
      <c r="P477" s="149" t="s">
        <v>218</v>
      </c>
      <c r="Q477" s="150"/>
      <c r="R477" s="150"/>
      <c r="S477" s="150"/>
      <c r="T477" s="150"/>
      <c r="U477" s="150"/>
      <c r="V477" s="150"/>
      <c r="W477" s="150"/>
      <c r="X477" s="159"/>
      <c r="Y477" s="147"/>
      <c r="Z477" s="105"/>
      <c r="AA477" s="105"/>
      <c r="AB477" s="106"/>
      <c r="AC477" s="147"/>
      <c r="AD477" s="105"/>
      <c r="AE477" s="105"/>
      <c r="AF477" s="106"/>
      <c r="AI477" s="119" t="str">
        <f>"35:ninti_senmoncare_code:" &amp; IF(I477="■",1,IF(O477="■",3,IF(L477="■",2,0)))</f>
        <v>35:ninti_senmoncare_code:0</v>
      </c>
    </row>
    <row r="478" spans="1:37" ht="18.75" customHeight="1" x14ac:dyDescent="0.15">
      <c r="A478" s="107"/>
      <c r="B478" s="108"/>
      <c r="C478" s="224"/>
      <c r="D478" s="110"/>
      <c r="E478" s="111"/>
      <c r="F478" s="112"/>
      <c r="G478" s="113"/>
      <c r="H478" s="230" t="s">
        <v>397</v>
      </c>
      <c r="I478" s="194" t="s">
        <v>348</v>
      </c>
      <c r="J478" s="149" t="s">
        <v>216</v>
      </c>
      <c r="K478" s="149"/>
      <c r="L478" s="152" t="s">
        <v>348</v>
      </c>
      <c r="M478" s="115" t="s">
        <v>232</v>
      </c>
      <c r="N478" s="149"/>
      <c r="O478" s="149"/>
      <c r="P478" s="149"/>
      <c r="Q478" s="150"/>
      <c r="R478" s="150"/>
      <c r="S478" s="150"/>
      <c r="T478" s="150"/>
      <c r="U478" s="150"/>
      <c r="V478" s="150"/>
      <c r="W478" s="150"/>
      <c r="X478" s="159"/>
      <c r="Y478" s="147"/>
      <c r="Z478" s="105"/>
      <c r="AA478" s="105"/>
      <c r="AB478" s="106"/>
      <c r="AC478" s="147"/>
      <c r="AD478" s="105"/>
      <c r="AE478" s="105"/>
      <c r="AF478" s="106"/>
      <c r="AI478" s="119" t="str">
        <f>"35:field226:" &amp; IF(I478="■",1,IF(L478="■",2,0))</f>
        <v>35:field226:0</v>
      </c>
    </row>
    <row r="479" spans="1:37" ht="18.75" customHeight="1" x14ac:dyDescent="0.15">
      <c r="A479" s="107"/>
      <c r="B479" s="108"/>
      <c r="C479" s="109"/>
      <c r="D479" s="110"/>
      <c r="E479" s="111"/>
      <c r="F479" s="112"/>
      <c r="G479" s="113"/>
      <c r="H479" s="230" t="s">
        <v>398</v>
      </c>
      <c r="I479" s="194" t="s">
        <v>348</v>
      </c>
      <c r="J479" s="149" t="s">
        <v>216</v>
      </c>
      <c r="K479" s="149"/>
      <c r="L479" s="152" t="s">
        <v>348</v>
      </c>
      <c r="M479" s="115" t="s">
        <v>232</v>
      </c>
      <c r="N479" s="149"/>
      <c r="O479" s="149"/>
      <c r="P479" s="149"/>
      <c r="Q479" s="150"/>
      <c r="R479" s="150"/>
      <c r="S479" s="150"/>
      <c r="T479" s="150"/>
      <c r="U479" s="150"/>
      <c r="V479" s="150"/>
      <c r="W479" s="150"/>
      <c r="X479" s="159"/>
      <c r="Y479" s="147"/>
      <c r="Z479" s="105"/>
      <c r="AA479" s="105"/>
      <c r="AB479" s="106"/>
      <c r="AC479" s="147"/>
      <c r="AD479" s="105"/>
      <c r="AE479" s="105"/>
      <c r="AF479" s="106"/>
      <c r="AI479" s="119" t="str">
        <f>"35:field227:" &amp; IF(I479="■",1,IF(L479="■",2,0))</f>
        <v>35:field227:0</v>
      </c>
    </row>
    <row r="480" spans="1:37" ht="18.75" customHeight="1" x14ac:dyDescent="0.15">
      <c r="A480" s="107"/>
      <c r="B480" s="108"/>
      <c r="C480" s="109"/>
      <c r="D480" s="110"/>
      <c r="E480" s="111"/>
      <c r="F480" s="112"/>
      <c r="G480" s="113"/>
      <c r="H480" s="240" t="s">
        <v>385</v>
      </c>
      <c r="I480" s="194" t="s">
        <v>348</v>
      </c>
      <c r="J480" s="149" t="s">
        <v>216</v>
      </c>
      <c r="K480" s="149"/>
      <c r="L480" s="152" t="s">
        <v>348</v>
      </c>
      <c r="M480" s="149" t="s">
        <v>217</v>
      </c>
      <c r="N480" s="149"/>
      <c r="O480" s="152" t="s">
        <v>348</v>
      </c>
      <c r="P480" s="149" t="s">
        <v>218</v>
      </c>
      <c r="Q480" s="154"/>
      <c r="R480" s="154"/>
      <c r="S480" s="154"/>
      <c r="T480" s="154"/>
      <c r="U480" s="241"/>
      <c r="V480" s="241"/>
      <c r="W480" s="241"/>
      <c r="X480" s="242"/>
      <c r="Y480" s="147"/>
      <c r="Z480" s="105"/>
      <c r="AA480" s="105"/>
      <c r="AB480" s="106"/>
      <c r="AC480" s="147"/>
      <c r="AD480" s="105"/>
      <c r="AE480" s="105"/>
      <c r="AF480" s="106"/>
      <c r="AI480" s="119" t="str">
        <f>"35:field225:" &amp; IF(I480="■",1,IF(L480="■",2,IF(O480="■",3,0)))</f>
        <v>35:field225:0</v>
      </c>
    </row>
    <row r="481" spans="1:36" ht="18.75" customHeight="1" x14ac:dyDescent="0.15">
      <c r="A481" s="107"/>
      <c r="B481" s="108"/>
      <c r="C481" s="109"/>
      <c r="D481" s="110"/>
      <c r="E481" s="111"/>
      <c r="F481" s="112"/>
      <c r="G481" s="113"/>
      <c r="H481" s="227" t="s">
        <v>168</v>
      </c>
      <c r="I481" s="194" t="s">
        <v>348</v>
      </c>
      <c r="J481" s="149" t="s">
        <v>216</v>
      </c>
      <c r="K481" s="149"/>
      <c r="L481" s="152" t="s">
        <v>348</v>
      </c>
      <c r="M481" s="149" t="s">
        <v>224</v>
      </c>
      <c r="N481" s="149"/>
      <c r="O481" s="152" t="s">
        <v>348</v>
      </c>
      <c r="P481" s="149" t="s">
        <v>234</v>
      </c>
      <c r="Q481" s="196"/>
      <c r="R481" s="152" t="s">
        <v>348</v>
      </c>
      <c r="S481" s="149" t="s">
        <v>248</v>
      </c>
      <c r="T481" s="149"/>
      <c r="U481" s="149"/>
      <c r="V481" s="149"/>
      <c r="W481" s="149"/>
      <c r="X481" s="158"/>
      <c r="Y481" s="147"/>
      <c r="Z481" s="105"/>
      <c r="AA481" s="105"/>
      <c r="AB481" s="106"/>
      <c r="AC481" s="147"/>
      <c r="AD481" s="105"/>
      <c r="AE481" s="105"/>
      <c r="AF481" s="106"/>
      <c r="AI481" s="119" t="str">
        <f>"35:serteikyo_kyoka_code:" &amp; IF(I481="■",1,IF(L481="■",6,IF(O481="■",2,IF(R481="■",7,0))))</f>
        <v>35:serteikyo_kyoka_code:0</v>
      </c>
    </row>
    <row r="482" spans="1:36" ht="18.75" customHeight="1" x14ac:dyDescent="0.15">
      <c r="A482" s="170"/>
      <c r="B482" s="108"/>
      <c r="C482" s="172"/>
      <c r="D482" s="173"/>
      <c r="E482" s="174"/>
      <c r="F482" s="175"/>
      <c r="G482" s="176"/>
      <c r="H482" s="95" t="s">
        <v>405</v>
      </c>
      <c r="I482" s="177" t="s">
        <v>348</v>
      </c>
      <c r="J482" s="96" t="s">
        <v>216</v>
      </c>
      <c r="K482" s="96"/>
      <c r="L482" s="178" t="s">
        <v>348</v>
      </c>
      <c r="M482" s="96" t="s">
        <v>373</v>
      </c>
      <c r="N482" s="97"/>
      <c r="O482" s="178" t="s">
        <v>348</v>
      </c>
      <c r="P482" s="99" t="s">
        <v>374</v>
      </c>
      <c r="Q482" s="98"/>
      <c r="R482" s="178" t="s">
        <v>348</v>
      </c>
      <c r="S482" s="96" t="s">
        <v>375</v>
      </c>
      <c r="T482" s="98"/>
      <c r="U482" s="178" t="s">
        <v>348</v>
      </c>
      <c r="V482" s="96" t="s">
        <v>376</v>
      </c>
      <c r="W482" s="100"/>
      <c r="X482" s="101"/>
      <c r="Y482" s="179"/>
      <c r="Z482" s="179"/>
      <c r="AA482" s="179"/>
      <c r="AB482" s="180"/>
      <c r="AC482" s="181"/>
      <c r="AD482" s="179"/>
      <c r="AE482" s="179"/>
      <c r="AF482" s="180"/>
      <c r="AG482" s="119"/>
      <c r="AH482" s="119"/>
      <c r="AI482" s="119" t="str">
        <f>"62:shoguukaizen_code:"&amp;IF(I482="■",1,IF(L482="■",7,IF(O482="■",8,IF(R482="■",9,IF(U482="■","A",0)))))</f>
        <v>62:shoguukaizen_code:0</v>
      </c>
    </row>
    <row r="483" spans="1:36" s="119" customFormat="1" ht="19.5" customHeight="1" x14ac:dyDescent="0.15">
      <c r="A483" s="130"/>
      <c r="B483" s="131"/>
      <c r="C483" s="132"/>
      <c r="D483" s="133"/>
      <c r="E483" s="126"/>
      <c r="F483" s="134"/>
      <c r="G483" s="135"/>
      <c r="H483" s="182" t="s">
        <v>390</v>
      </c>
      <c r="I483" s="183" t="s">
        <v>348</v>
      </c>
      <c r="J483" s="184" t="s">
        <v>360</v>
      </c>
      <c r="K483" s="185"/>
      <c r="L483" s="186"/>
      <c r="M483" s="187" t="s">
        <v>348</v>
      </c>
      <c r="N483" s="184" t="s">
        <v>370</v>
      </c>
      <c r="O483" s="193"/>
      <c r="P483" s="184"/>
      <c r="Q483" s="188"/>
      <c r="R483" s="188"/>
      <c r="S483" s="188"/>
      <c r="T483" s="188"/>
      <c r="U483" s="188"/>
      <c r="V483" s="188"/>
      <c r="W483" s="188"/>
      <c r="X483" s="189"/>
      <c r="Y483" s="128" t="s">
        <v>348</v>
      </c>
      <c r="Z483" s="104" t="s">
        <v>448</v>
      </c>
      <c r="AA483" s="104"/>
      <c r="AB483" s="106"/>
      <c r="AC483" s="403"/>
      <c r="AD483" s="437"/>
      <c r="AE483" s="437"/>
      <c r="AF483" s="438"/>
      <c r="AG483" s="119" t="str">
        <f>"ser_code = '" &amp; IF(A485="■",67,"") &amp; "'"</f>
        <v>ser_code = ''</v>
      </c>
      <c r="AI483" s="119" t="str">
        <f>"67:field232:" &amp; IF(I483="■",1,IF(M483="■",2,0))</f>
        <v>67:field232:0</v>
      </c>
      <c r="AJ483" s="119" t="str">
        <f>"67:field203:" &amp; IF(Y483="■",1,IF(Y484="■",2,0))</f>
        <v>67:field203:0</v>
      </c>
    </row>
    <row r="484" spans="1:36" ht="18.75" customHeight="1" x14ac:dyDescent="0.15">
      <c r="A484" s="107"/>
      <c r="B484" s="108"/>
      <c r="C484" s="109"/>
      <c r="D484" s="110"/>
      <c r="E484" s="113"/>
      <c r="F484" s="110"/>
      <c r="G484" s="113"/>
      <c r="H484" s="282" t="s">
        <v>90</v>
      </c>
      <c r="I484" s="143" t="s">
        <v>348</v>
      </c>
      <c r="J484" s="115" t="s">
        <v>216</v>
      </c>
      <c r="K484" s="166"/>
      <c r="L484" s="191" t="s">
        <v>348</v>
      </c>
      <c r="M484" s="115" t="s">
        <v>232</v>
      </c>
      <c r="N484" s="166"/>
      <c r="O484" s="166"/>
      <c r="P484" s="166"/>
      <c r="Q484" s="166"/>
      <c r="R484" s="166"/>
      <c r="S484" s="166"/>
      <c r="T484" s="166"/>
      <c r="U484" s="166"/>
      <c r="V484" s="166"/>
      <c r="W484" s="166"/>
      <c r="X484" s="167"/>
      <c r="Y484" s="123" t="s">
        <v>348</v>
      </c>
      <c r="Z484" s="104" t="s">
        <v>221</v>
      </c>
      <c r="AA484" s="105"/>
      <c r="AB484" s="106"/>
      <c r="AC484" s="387"/>
      <c r="AD484" s="385"/>
      <c r="AE484" s="385"/>
      <c r="AF484" s="386"/>
      <c r="AG484" s="119"/>
      <c r="AH484" s="119"/>
      <c r="AI484" s="119" t="str">
        <f>"67:tokutiiki_code:" &amp; IF(I484="■",1,IF(L484="■",2,0))</f>
        <v>67:tokutiiki_code:0</v>
      </c>
      <c r="AJ484" s="119"/>
    </row>
    <row r="485" spans="1:36" ht="18.75" customHeight="1" x14ac:dyDescent="0.15">
      <c r="A485" s="128" t="s">
        <v>348</v>
      </c>
      <c r="B485" s="108">
        <v>67</v>
      </c>
      <c r="C485" s="109" t="s">
        <v>449</v>
      </c>
      <c r="D485" s="110"/>
      <c r="E485" s="113"/>
      <c r="F485" s="110"/>
      <c r="G485" s="113"/>
      <c r="H485" s="393" t="s">
        <v>416</v>
      </c>
      <c r="I485" s="342" t="s">
        <v>348</v>
      </c>
      <c r="J485" s="343" t="s">
        <v>222</v>
      </c>
      <c r="K485" s="343"/>
      <c r="L485" s="343"/>
      <c r="M485" s="342" t="s">
        <v>348</v>
      </c>
      <c r="N485" s="343" t="s">
        <v>223</v>
      </c>
      <c r="O485" s="343"/>
      <c r="P485" s="343"/>
      <c r="Q485" s="241"/>
      <c r="R485" s="241"/>
      <c r="S485" s="241"/>
      <c r="T485" s="241"/>
      <c r="U485" s="241"/>
      <c r="V485" s="241"/>
      <c r="W485" s="241"/>
      <c r="X485" s="242"/>
      <c r="Y485" s="147"/>
      <c r="Z485" s="104"/>
      <c r="AA485" s="105"/>
      <c r="AB485" s="106"/>
      <c r="AC485" s="387"/>
      <c r="AD485" s="385"/>
      <c r="AE485" s="385"/>
      <c r="AF485" s="386"/>
      <c r="AG485" s="119"/>
      <c r="AH485" s="119"/>
      <c r="AI485" s="119" t="str">
        <f>"67:chuusankanti_tiiki_code:" &amp; IF(I485="■",1,IF(M485="■",2,0))</f>
        <v>67:chuusankanti_tiiki_code:0</v>
      </c>
      <c r="AJ485" s="119"/>
    </row>
    <row r="486" spans="1:36" ht="18.75" customHeight="1" x14ac:dyDescent="0.15">
      <c r="A486" s="107"/>
      <c r="B486" s="108"/>
      <c r="C486" s="109"/>
      <c r="D486" s="110"/>
      <c r="E486" s="113"/>
      <c r="F486" s="110"/>
      <c r="G486" s="113"/>
      <c r="H486" s="395"/>
      <c r="I486" s="331"/>
      <c r="J486" s="333"/>
      <c r="K486" s="333"/>
      <c r="L486" s="333"/>
      <c r="M486" s="331"/>
      <c r="N486" s="333"/>
      <c r="O486" s="333"/>
      <c r="P486" s="333"/>
      <c r="Q486" s="166"/>
      <c r="R486" s="166"/>
      <c r="S486" s="166"/>
      <c r="T486" s="166"/>
      <c r="U486" s="166"/>
      <c r="V486" s="166"/>
      <c r="W486" s="166"/>
      <c r="X486" s="167"/>
      <c r="Y486" s="147"/>
      <c r="Z486" s="105"/>
      <c r="AA486" s="105"/>
      <c r="AB486" s="106"/>
      <c r="AC486" s="387"/>
      <c r="AD486" s="385"/>
      <c r="AE486" s="385"/>
      <c r="AF486" s="386"/>
      <c r="AG486" s="119"/>
      <c r="AH486" s="119"/>
      <c r="AI486" s="119"/>
      <c r="AJ486" s="119"/>
    </row>
    <row r="487" spans="1:36" ht="18.75" customHeight="1" x14ac:dyDescent="0.15">
      <c r="A487" s="107"/>
      <c r="B487" s="108"/>
      <c r="C487" s="109"/>
      <c r="D487" s="110"/>
      <c r="E487" s="113"/>
      <c r="F487" s="110"/>
      <c r="G487" s="113"/>
      <c r="H487" s="393" t="s">
        <v>419</v>
      </c>
      <c r="I487" s="354" t="s">
        <v>348</v>
      </c>
      <c r="J487" s="343" t="s">
        <v>222</v>
      </c>
      <c r="K487" s="343"/>
      <c r="L487" s="343"/>
      <c r="M487" s="342" t="s">
        <v>348</v>
      </c>
      <c r="N487" s="343" t="s">
        <v>223</v>
      </c>
      <c r="O487" s="343"/>
      <c r="P487" s="343"/>
      <c r="Q487" s="241"/>
      <c r="R487" s="241"/>
      <c r="S487" s="241"/>
      <c r="T487" s="241"/>
      <c r="U487" s="241"/>
      <c r="V487" s="241"/>
      <c r="W487" s="241"/>
      <c r="X487" s="242"/>
      <c r="Y487" s="147"/>
      <c r="Z487" s="105"/>
      <c r="AA487" s="105"/>
      <c r="AB487" s="106"/>
      <c r="AC487" s="387"/>
      <c r="AD487" s="385"/>
      <c r="AE487" s="385"/>
      <c r="AF487" s="386"/>
      <c r="AG487" s="119"/>
      <c r="AH487" s="119"/>
      <c r="AI487" s="119" t="str">
        <f>"67:chuusankanti_kibo_code:" &amp; IF(I487="■",1,IF(M487="■",2,0))</f>
        <v>67:chuusankanti_kibo_code:0</v>
      </c>
      <c r="AJ487" s="119"/>
    </row>
    <row r="488" spans="1:36" ht="18.75" customHeight="1" x14ac:dyDescent="0.15">
      <c r="A488" s="286"/>
      <c r="B488" s="287"/>
      <c r="C488" s="288"/>
      <c r="D488" s="289"/>
      <c r="E488" s="290"/>
      <c r="F488" s="173"/>
      <c r="G488" s="176"/>
      <c r="H488" s="394"/>
      <c r="I488" s="391"/>
      <c r="J488" s="380"/>
      <c r="K488" s="380"/>
      <c r="L488" s="380"/>
      <c r="M488" s="392"/>
      <c r="N488" s="380"/>
      <c r="O488" s="380"/>
      <c r="P488" s="380"/>
      <c r="Q488" s="259"/>
      <c r="R488" s="259"/>
      <c r="S488" s="259"/>
      <c r="T488" s="259"/>
      <c r="U488" s="259"/>
      <c r="V488" s="259"/>
      <c r="W488" s="259"/>
      <c r="X488" s="260"/>
      <c r="Y488" s="181"/>
      <c r="Z488" s="179"/>
      <c r="AA488" s="179"/>
      <c r="AB488" s="180"/>
      <c r="AC488" s="388"/>
      <c r="AD488" s="389"/>
      <c r="AE488" s="389"/>
      <c r="AF488" s="390"/>
      <c r="AG488" s="119"/>
      <c r="AH488" s="119"/>
      <c r="AI488" s="119"/>
      <c r="AJ488" s="119"/>
    </row>
    <row r="489" spans="1:36" ht="19.5" customHeight="1" x14ac:dyDescent="0.15">
      <c r="A489" s="107"/>
      <c r="B489" s="131"/>
      <c r="C489" s="109"/>
      <c r="D489" s="110"/>
      <c r="E489" s="111"/>
      <c r="F489" s="291"/>
      <c r="G489" s="292"/>
      <c r="H489" s="425"/>
      <c r="I489" s="428"/>
      <c r="J489" s="429"/>
      <c r="K489" s="429"/>
      <c r="L489" s="429"/>
      <c r="M489" s="429"/>
      <c r="N489" s="429"/>
      <c r="O489" s="429"/>
      <c r="P489" s="429"/>
      <c r="Q489" s="429"/>
      <c r="R489" s="429"/>
      <c r="S489" s="429"/>
      <c r="T489" s="429"/>
      <c r="U489" s="429"/>
      <c r="V489" s="429"/>
      <c r="W489" s="429"/>
      <c r="X489" s="430"/>
      <c r="Y489" s="128" t="s">
        <v>348</v>
      </c>
      <c r="Z489" s="124" t="s">
        <v>448</v>
      </c>
      <c r="AA489" s="293"/>
      <c r="AB489" s="294"/>
      <c r="AC489" s="311"/>
      <c r="AD489" s="312"/>
      <c r="AE489" s="312"/>
      <c r="AF489" s="313"/>
      <c r="AG489" s="119" t="str">
        <f>"ser_code = '" &amp; IF(A490="■",46,"") &amp; "'"</f>
        <v>ser_code = ''</v>
      </c>
      <c r="AJ489" s="119" t="str">
        <f>"46:field203:" &amp; IF(Y489="■",1,IF(Y490="■",2,0))</f>
        <v>46:field203:0</v>
      </c>
    </row>
    <row r="490" spans="1:36" ht="19.5" customHeight="1" x14ac:dyDescent="0.15">
      <c r="A490" s="295" t="s">
        <v>348</v>
      </c>
      <c r="B490" s="108">
        <v>46</v>
      </c>
      <c r="C490" s="109" t="s">
        <v>71</v>
      </c>
      <c r="D490" s="295" t="s">
        <v>348</v>
      </c>
      <c r="E490" s="111" t="s">
        <v>450</v>
      </c>
      <c r="F490" s="296"/>
      <c r="G490" s="297"/>
      <c r="H490" s="426"/>
      <c r="I490" s="431"/>
      <c r="J490" s="432"/>
      <c r="K490" s="432"/>
      <c r="L490" s="432"/>
      <c r="M490" s="432"/>
      <c r="N490" s="432"/>
      <c r="O490" s="432"/>
      <c r="P490" s="432"/>
      <c r="Q490" s="432"/>
      <c r="R490" s="432"/>
      <c r="S490" s="432"/>
      <c r="T490" s="432"/>
      <c r="U490" s="432"/>
      <c r="V490" s="432"/>
      <c r="W490" s="432"/>
      <c r="X490" s="433"/>
      <c r="Y490" s="123" t="s">
        <v>348</v>
      </c>
      <c r="Z490" s="104" t="s">
        <v>221</v>
      </c>
      <c r="AA490" s="299"/>
      <c r="AB490" s="300"/>
      <c r="AC490" s="314"/>
      <c r="AD490" s="315"/>
      <c r="AE490" s="315"/>
      <c r="AF490" s="316"/>
      <c r="AG490" s="119" t="str">
        <f>"46:sisetukbn_code:" &amp; IF(D490="■",1,0)</f>
        <v>46:sisetukbn_code:0</v>
      </c>
    </row>
    <row r="491" spans="1:36" ht="18.75" customHeight="1" x14ac:dyDescent="0.15">
      <c r="A491" s="286"/>
      <c r="B491" s="287"/>
      <c r="C491" s="288"/>
      <c r="D491" s="289"/>
      <c r="E491" s="290"/>
      <c r="F491" s="301"/>
      <c r="G491" s="302"/>
      <c r="H491" s="427"/>
      <c r="I491" s="434"/>
      <c r="J491" s="435"/>
      <c r="K491" s="435"/>
      <c r="L491" s="435"/>
      <c r="M491" s="435"/>
      <c r="N491" s="435"/>
      <c r="O491" s="435"/>
      <c r="P491" s="435"/>
      <c r="Q491" s="435"/>
      <c r="R491" s="435"/>
      <c r="S491" s="435"/>
      <c r="T491" s="435"/>
      <c r="U491" s="435"/>
      <c r="V491" s="435"/>
      <c r="W491" s="435"/>
      <c r="X491" s="436"/>
      <c r="Y491" s="181"/>
      <c r="Z491" s="179"/>
      <c r="AA491" s="179"/>
      <c r="AB491" s="180"/>
      <c r="AC491" s="351"/>
      <c r="AD491" s="352"/>
      <c r="AE491" s="352"/>
      <c r="AF491" s="353"/>
      <c r="AG491" s="119"/>
      <c r="AI491" s="119"/>
      <c r="AJ491" s="119"/>
    </row>
    <row r="492" spans="1:36" ht="18.75" customHeight="1" x14ac:dyDescent="0.15">
      <c r="A492" s="107"/>
      <c r="B492" s="108"/>
      <c r="C492" s="109"/>
      <c r="D492" s="110"/>
      <c r="E492" s="111"/>
      <c r="F492" s="262"/>
      <c r="G492" s="264"/>
      <c r="H492" s="230" t="s">
        <v>391</v>
      </c>
      <c r="I492" s="148" t="s">
        <v>348</v>
      </c>
      <c r="J492" s="149" t="s">
        <v>216</v>
      </c>
      <c r="K492" s="150"/>
      <c r="L492" s="152" t="s">
        <v>348</v>
      </c>
      <c r="M492" s="149" t="s">
        <v>232</v>
      </c>
      <c r="N492" s="150"/>
      <c r="O492" s="150"/>
      <c r="P492" s="150"/>
      <c r="Q492" s="150"/>
      <c r="R492" s="150"/>
      <c r="S492" s="150"/>
      <c r="T492" s="150"/>
      <c r="U492" s="150"/>
      <c r="V492" s="150"/>
      <c r="W492" s="150"/>
      <c r="X492" s="159"/>
      <c r="Y492" s="128" t="s">
        <v>348</v>
      </c>
      <c r="Z492" s="124" t="s">
        <v>448</v>
      </c>
      <c r="AA492" s="251"/>
      <c r="AB492" s="139"/>
      <c r="AC492" s="311"/>
      <c r="AD492" s="312"/>
      <c r="AE492" s="312"/>
      <c r="AF492" s="313"/>
      <c r="AG492" s="119" t="str">
        <f>"ser_code = '" &amp; IF(A494="■",46,"") &amp; "'"</f>
        <v>ser_code = ''</v>
      </c>
      <c r="AI492" s="119" t="str">
        <f>"46:tokutiiki_code:" &amp; IF(I492="■",1,IF(L492="■",2,0))</f>
        <v>46:tokutiiki_code:0</v>
      </c>
      <c r="AJ492" s="119" t="str">
        <f>"46:field203:" &amp; IF(Y492="■",1,IF(Y493="■",2,0))</f>
        <v>46:field203:0</v>
      </c>
    </row>
    <row r="493" spans="1:36" ht="18.75" customHeight="1" x14ac:dyDescent="0.15">
      <c r="A493" s="107"/>
      <c r="B493" s="108"/>
      <c r="C493" s="109"/>
      <c r="D493" s="110"/>
      <c r="E493" s="111"/>
      <c r="F493" s="262"/>
      <c r="G493" s="264"/>
      <c r="H493" s="329" t="s">
        <v>180</v>
      </c>
      <c r="I493" s="342" t="s">
        <v>348</v>
      </c>
      <c r="J493" s="343" t="s">
        <v>222</v>
      </c>
      <c r="K493" s="343"/>
      <c r="L493" s="343"/>
      <c r="M493" s="342" t="s">
        <v>348</v>
      </c>
      <c r="N493" s="343" t="s">
        <v>223</v>
      </c>
      <c r="O493" s="343"/>
      <c r="P493" s="343"/>
      <c r="Q493" s="241"/>
      <c r="R493" s="241"/>
      <c r="S493" s="241"/>
      <c r="T493" s="241"/>
      <c r="U493" s="241"/>
      <c r="V493" s="241"/>
      <c r="W493" s="241"/>
      <c r="X493" s="242"/>
      <c r="Y493" s="123" t="s">
        <v>348</v>
      </c>
      <c r="Z493" s="104" t="s">
        <v>221</v>
      </c>
      <c r="AA493" s="105"/>
      <c r="AB493" s="106"/>
      <c r="AC493" s="314"/>
      <c r="AD493" s="315"/>
      <c r="AE493" s="315"/>
      <c r="AF493" s="316"/>
      <c r="AG493" s="119" t="str">
        <f>"46:sisetukbn_code:" &amp; IF(D493="■",2,0)</f>
        <v>46:sisetukbn_code:0</v>
      </c>
      <c r="AI493" s="119" t="str">
        <f>"46:chuusankanti_tiiki_code:" &amp; IF(I493="■",1,IF(M493="■",2,0))</f>
        <v>46:chuusankanti_tiiki_code:0</v>
      </c>
    </row>
    <row r="494" spans="1:36" ht="18.75" customHeight="1" x14ac:dyDescent="0.15">
      <c r="A494" s="295" t="s">
        <v>348</v>
      </c>
      <c r="B494" s="108">
        <v>46</v>
      </c>
      <c r="C494" s="109" t="s">
        <v>71</v>
      </c>
      <c r="D494" s="295" t="s">
        <v>348</v>
      </c>
      <c r="E494" s="111" t="s">
        <v>451</v>
      </c>
      <c r="F494" s="262"/>
      <c r="G494" s="264"/>
      <c r="H494" s="328"/>
      <c r="I494" s="331"/>
      <c r="J494" s="333"/>
      <c r="K494" s="333"/>
      <c r="L494" s="333"/>
      <c r="M494" s="331"/>
      <c r="N494" s="333"/>
      <c r="O494" s="333"/>
      <c r="P494" s="333"/>
      <c r="Q494" s="166"/>
      <c r="R494" s="166"/>
      <c r="S494" s="166"/>
      <c r="T494" s="166"/>
      <c r="U494" s="166"/>
      <c r="V494" s="166"/>
      <c r="W494" s="166"/>
      <c r="X494" s="167"/>
      <c r="Y494" s="147"/>
      <c r="Z494" s="105"/>
      <c r="AA494" s="105"/>
      <c r="AB494" s="106"/>
      <c r="AC494" s="314"/>
      <c r="AD494" s="315"/>
      <c r="AE494" s="315"/>
      <c r="AF494" s="316"/>
      <c r="AI494" s="119"/>
    </row>
    <row r="495" spans="1:36" ht="18.75" customHeight="1" x14ac:dyDescent="0.15">
      <c r="A495" s="107"/>
      <c r="B495" s="108"/>
      <c r="C495" s="109"/>
      <c r="D495" s="110"/>
      <c r="E495" s="111"/>
      <c r="F495" s="262"/>
      <c r="G495" s="264"/>
      <c r="H495" s="329" t="s">
        <v>181</v>
      </c>
      <c r="I495" s="358" t="s">
        <v>348</v>
      </c>
      <c r="J495" s="359" t="s">
        <v>222</v>
      </c>
      <c r="K495" s="359"/>
      <c r="L495" s="359"/>
      <c r="M495" s="360" t="s">
        <v>348</v>
      </c>
      <c r="N495" s="359" t="s">
        <v>389</v>
      </c>
      <c r="O495" s="359"/>
      <c r="P495" s="359"/>
      <c r="Q495" s="241"/>
      <c r="R495" s="241"/>
      <c r="S495" s="241"/>
      <c r="T495" s="241"/>
      <c r="U495" s="241"/>
      <c r="V495" s="241"/>
      <c r="W495" s="241"/>
      <c r="X495" s="242"/>
      <c r="Y495" s="147"/>
      <c r="Z495" s="105"/>
      <c r="AA495" s="105"/>
      <c r="AB495" s="106"/>
      <c r="AC495" s="314"/>
      <c r="AD495" s="315"/>
      <c r="AE495" s="315"/>
      <c r="AF495" s="316"/>
      <c r="AI495" s="119" t="str">
        <f>"46:chuusankanti_kibo_code:" &amp; IF(I495="■",1,IF(M495="■",2,0))</f>
        <v>46:chuusankanti_kibo_code:0</v>
      </c>
    </row>
    <row r="496" spans="1:36" ht="18.75" customHeight="1" x14ac:dyDescent="0.15">
      <c r="A496" s="170"/>
      <c r="B496" s="171"/>
      <c r="C496" s="172"/>
      <c r="D496" s="173"/>
      <c r="E496" s="174"/>
      <c r="F496" s="265"/>
      <c r="G496" s="260"/>
      <c r="H496" s="350"/>
      <c r="I496" s="422"/>
      <c r="J496" s="423"/>
      <c r="K496" s="423"/>
      <c r="L496" s="423"/>
      <c r="M496" s="424"/>
      <c r="N496" s="423"/>
      <c r="O496" s="423"/>
      <c r="P496" s="423"/>
      <c r="Q496" s="259"/>
      <c r="R496" s="259"/>
      <c r="S496" s="259"/>
      <c r="T496" s="259"/>
      <c r="U496" s="259"/>
      <c r="V496" s="259"/>
      <c r="W496" s="259"/>
      <c r="X496" s="260"/>
      <c r="Y496" s="181"/>
      <c r="Z496" s="179"/>
      <c r="AA496" s="179"/>
      <c r="AB496" s="180"/>
      <c r="AC496" s="351"/>
      <c r="AD496" s="352"/>
      <c r="AE496" s="352"/>
      <c r="AF496" s="353"/>
    </row>
    <row r="497" ht="20.25" customHeight="1" x14ac:dyDescent="0.15"/>
  </sheetData>
  <mergeCells count="268">
    <mergeCell ref="AC107:AF125"/>
    <mergeCell ref="H108:H109"/>
    <mergeCell ref="H123:H124"/>
    <mergeCell ref="I123:I124"/>
    <mergeCell ref="J123:K124"/>
    <mergeCell ref="L123:L124"/>
    <mergeCell ref="M123:N124"/>
    <mergeCell ref="L359:L360"/>
    <mergeCell ref="M359:N360"/>
    <mergeCell ref="H315:H316"/>
    <mergeCell ref="AC315:AF337"/>
    <mergeCell ref="H317:H318"/>
    <mergeCell ref="H329:H330"/>
    <mergeCell ref="H331:H332"/>
    <mergeCell ref="H335:H336"/>
    <mergeCell ref="I335:I336"/>
    <mergeCell ref="J335:K336"/>
    <mergeCell ref="AC190:AF207"/>
    <mergeCell ref="H191:H192"/>
    <mergeCell ref="H205:H206"/>
    <mergeCell ref="I205:I206"/>
    <mergeCell ref="J205:K206"/>
    <mergeCell ref="L205:L206"/>
    <mergeCell ref="M205:N206"/>
    <mergeCell ref="H362:H363"/>
    <mergeCell ref="AC362:AF380"/>
    <mergeCell ref="AC338:AF361"/>
    <mergeCell ref="H340:H341"/>
    <mergeCell ref="H353:H354"/>
    <mergeCell ref="H355:H356"/>
    <mergeCell ref="H359:H360"/>
    <mergeCell ref="I359:I360"/>
    <mergeCell ref="J359:K360"/>
    <mergeCell ref="H364:H365"/>
    <mergeCell ref="H378:H379"/>
    <mergeCell ref="I378:I379"/>
    <mergeCell ref="J378:K379"/>
    <mergeCell ref="L378:L379"/>
    <mergeCell ref="M378:N379"/>
    <mergeCell ref="H338:H339"/>
    <mergeCell ref="AC489:AF491"/>
    <mergeCell ref="AC492:AF496"/>
    <mergeCell ref="H493:H494"/>
    <mergeCell ref="I493:I494"/>
    <mergeCell ref="J493:L494"/>
    <mergeCell ref="M493:M494"/>
    <mergeCell ref="N493:P494"/>
    <mergeCell ref="AC483:AF488"/>
    <mergeCell ref="H485:H486"/>
    <mergeCell ref="I485:I486"/>
    <mergeCell ref="J485:L486"/>
    <mergeCell ref="M485:M486"/>
    <mergeCell ref="H381:H382"/>
    <mergeCell ref="AC381:AF400"/>
    <mergeCell ref="H383:H384"/>
    <mergeCell ref="H398:H399"/>
    <mergeCell ref="I398:I399"/>
    <mergeCell ref="J398:K399"/>
    <mergeCell ref="L398:L399"/>
    <mergeCell ref="M398:N399"/>
    <mergeCell ref="N487:P488"/>
    <mergeCell ref="N485:P486"/>
    <mergeCell ref="H487:H488"/>
    <mergeCell ref="I487:I488"/>
    <mergeCell ref="J487:L488"/>
    <mergeCell ref="M487:M488"/>
    <mergeCell ref="H495:H496"/>
    <mergeCell ref="I495:I496"/>
    <mergeCell ref="J495:L496"/>
    <mergeCell ref="M495:M496"/>
    <mergeCell ref="N495:P496"/>
    <mergeCell ref="H489:H491"/>
    <mergeCell ref="I489:X491"/>
    <mergeCell ref="H449:H450"/>
    <mergeCell ref="AC449:AF468"/>
    <mergeCell ref="H451:H452"/>
    <mergeCell ref="H466:H467"/>
    <mergeCell ref="I466:I467"/>
    <mergeCell ref="J466:K467"/>
    <mergeCell ref="L466:L467"/>
    <mergeCell ref="M466:N467"/>
    <mergeCell ref="H425:H426"/>
    <mergeCell ref="AC425:AF448"/>
    <mergeCell ref="H427:H428"/>
    <mergeCell ref="H440:H441"/>
    <mergeCell ref="H442:H443"/>
    <mergeCell ref="H446:H447"/>
    <mergeCell ref="I446:I447"/>
    <mergeCell ref="J446:K447"/>
    <mergeCell ref="L446:L447"/>
    <mergeCell ref="M446:N447"/>
    <mergeCell ref="H401:H402"/>
    <mergeCell ref="AC401:AF424"/>
    <mergeCell ref="H403:H404"/>
    <mergeCell ref="H416:H417"/>
    <mergeCell ref="H418:H419"/>
    <mergeCell ref="H422:H423"/>
    <mergeCell ref="I422:I423"/>
    <mergeCell ref="J422:K423"/>
    <mergeCell ref="L422:L423"/>
    <mergeCell ref="M422:N423"/>
    <mergeCell ref="L335:L336"/>
    <mergeCell ref="M335:N336"/>
    <mergeCell ref="AC295:AF314"/>
    <mergeCell ref="H306:H307"/>
    <mergeCell ref="H309:H310"/>
    <mergeCell ref="H312:H313"/>
    <mergeCell ref="I312:I313"/>
    <mergeCell ref="J312:K313"/>
    <mergeCell ref="L312:L313"/>
    <mergeCell ref="M312:N313"/>
    <mergeCell ref="AC276:AF294"/>
    <mergeCell ref="H286:H287"/>
    <mergeCell ref="H289:H290"/>
    <mergeCell ref="H292:H293"/>
    <mergeCell ref="I292:I293"/>
    <mergeCell ref="J292:K293"/>
    <mergeCell ref="L292:L293"/>
    <mergeCell ref="M292:N293"/>
    <mergeCell ref="H253:H254"/>
    <mergeCell ref="AC253:AF275"/>
    <mergeCell ref="H267:H268"/>
    <mergeCell ref="H270:H271"/>
    <mergeCell ref="H273:H274"/>
    <mergeCell ref="I273:I274"/>
    <mergeCell ref="J273:K274"/>
    <mergeCell ref="L273:L274"/>
    <mergeCell ref="M273:N274"/>
    <mergeCell ref="H230:H231"/>
    <mergeCell ref="AC230:AF252"/>
    <mergeCell ref="H244:H245"/>
    <mergeCell ref="H247:H248"/>
    <mergeCell ref="H250:H251"/>
    <mergeCell ref="I250:I251"/>
    <mergeCell ref="J250:K251"/>
    <mergeCell ref="L250:L251"/>
    <mergeCell ref="M250:N251"/>
    <mergeCell ref="H208:H209"/>
    <mergeCell ref="AC208:AF229"/>
    <mergeCell ref="H221:H222"/>
    <mergeCell ref="H224:H225"/>
    <mergeCell ref="H227:H228"/>
    <mergeCell ref="I227:I228"/>
    <mergeCell ref="J227:K228"/>
    <mergeCell ref="L227:L228"/>
    <mergeCell ref="M227:N228"/>
    <mergeCell ref="AC171:AF189"/>
    <mergeCell ref="H172:H173"/>
    <mergeCell ref="H187:H188"/>
    <mergeCell ref="I187:I188"/>
    <mergeCell ref="J187:K188"/>
    <mergeCell ref="L187:L188"/>
    <mergeCell ref="M187:N188"/>
    <mergeCell ref="AC126:AF148"/>
    <mergeCell ref="H127:H128"/>
    <mergeCell ref="H146:H147"/>
    <mergeCell ref="I146:I147"/>
    <mergeCell ref="J146:K147"/>
    <mergeCell ref="L146:L147"/>
    <mergeCell ref="M146:N147"/>
    <mergeCell ref="AC149:AF170"/>
    <mergeCell ref="H150:H151"/>
    <mergeCell ref="H168:H169"/>
    <mergeCell ref="I168:I169"/>
    <mergeCell ref="J168:K169"/>
    <mergeCell ref="L168:L169"/>
    <mergeCell ref="M168:N169"/>
    <mergeCell ref="AC87:AF106"/>
    <mergeCell ref="H88:H89"/>
    <mergeCell ref="H104:H105"/>
    <mergeCell ref="I104:I105"/>
    <mergeCell ref="J104:K105"/>
    <mergeCell ref="L104:L105"/>
    <mergeCell ref="M104:N105"/>
    <mergeCell ref="P82:Q83"/>
    <mergeCell ref="R82:R83"/>
    <mergeCell ref="S82:T83"/>
    <mergeCell ref="H84:H85"/>
    <mergeCell ref="I84:I85"/>
    <mergeCell ref="J84:K85"/>
    <mergeCell ref="L84:L85"/>
    <mergeCell ref="M84:N85"/>
    <mergeCell ref="O80:O81"/>
    <mergeCell ref="P80:Q81"/>
    <mergeCell ref="R80:R81"/>
    <mergeCell ref="S80:T81"/>
    <mergeCell ref="H82:H83"/>
    <mergeCell ref="I82:I83"/>
    <mergeCell ref="J82:K83"/>
    <mergeCell ref="L82:L83"/>
    <mergeCell ref="M82:N83"/>
    <mergeCell ref="O82:O83"/>
    <mergeCell ref="H68:H69"/>
    <mergeCell ref="J68:K69"/>
    <mergeCell ref="L68:L69"/>
    <mergeCell ref="M68:N69"/>
    <mergeCell ref="H80:H81"/>
    <mergeCell ref="I80:I81"/>
    <mergeCell ref="J80:K81"/>
    <mergeCell ref="L80:L81"/>
    <mergeCell ref="M80:N81"/>
    <mergeCell ref="M46:M47"/>
    <mergeCell ref="N46:P47"/>
    <mergeCell ref="J48:K48"/>
    <mergeCell ref="M48:N48"/>
    <mergeCell ref="H50:H51"/>
    <mergeCell ref="AC50:AF61"/>
    <mergeCell ref="J58:K58"/>
    <mergeCell ref="M58:N58"/>
    <mergeCell ref="N39:P40"/>
    <mergeCell ref="AC43:AF49"/>
    <mergeCell ref="H44:H45"/>
    <mergeCell ref="I44:I45"/>
    <mergeCell ref="J44:L45"/>
    <mergeCell ref="M44:M45"/>
    <mergeCell ref="N44:P45"/>
    <mergeCell ref="H46:H47"/>
    <mergeCell ref="I46:I47"/>
    <mergeCell ref="J46:L47"/>
    <mergeCell ref="AC34:AF42"/>
    <mergeCell ref="H37:H38"/>
    <mergeCell ref="I37:I38"/>
    <mergeCell ref="J37:L38"/>
    <mergeCell ref="M37:M38"/>
    <mergeCell ref="N37:P38"/>
    <mergeCell ref="AC21:AF33"/>
    <mergeCell ref="H24:H25"/>
    <mergeCell ref="I24:I25"/>
    <mergeCell ref="J24:L25"/>
    <mergeCell ref="M24:M25"/>
    <mergeCell ref="H39:H40"/>
    <mergeCell ref="I39:I40"/>
    <mergeCell ref="J39:L40"/>
    <mergeCell ref="M39:M40"/>
    <mergeCell ref="N24:P25"/>
    <mergeCell ref="H26:H27"/>
    <mergeCell ref="I26:I27"/>
    <mergeCell ref="J26:L27"/>
    <mergeCell ref="M26:M27"/>
    <mergeCell ref="N26:P27"/>
    <mergeCell ref="H14:H15"/>
    <mergeCell ref="I14:I15"/>
    <mergeCell ref="J14:L15"/>
    <mergeCell ref="M14:M15"/>
    <mergeCell ref="N14:P15"/>
    <mergeCell ref="H16:H17"/>
    <mergeCell ref="I16:I17"/>
    <mergeCell ref="J16:L17"/>
    <mergeCell ref="M16:M17"/>
    <mergeCell ref="N16:P17"/>
    <mergeCell ref="A3:AF3"/>
    <mergeCell ref="A8:C8"/>
    <mergeCell ref="D8:E8"/>
    <mergeCell ref="F8:G8"/>
    <mergeCell ref="H8:X8"/>
    <mergeCell ref="Y8:AB8"/>
    <mergeCell ref="AC8:AF8"/>
    <mergeCell ref="A9:C10"/>
    <mergeCell ref="H9:H10"/>
    <mergeCell ref="Y9:AB10"/>
    <mergeCell ref="AC9:AF10"/>
    <mergeCell ref="I5:M5"/>
    <mergeCell ref="N5:W5"/>
    <mergeCell ref="X5:Z5"/>
    <mergeCell ref="AA5:AF5"/>
    <mergeCell ref="I6:M6"/>
    <mergeCell ref="N6:W6"/>
    <mergeCell ref="X6:Z6"/>
  </mergeCells>
  <phoneticPr fontId="1"/>
  <conditionalFormatting sqref="A7:AF1048576">
    <cfRule type="expression" dxfId="5" priority="7">
      <formula>CELL("protect",A7)=0</formula>
    </cfRule>
  </conditionalFormatting>
  <conditionalFormatting sqref="A1:AF4">
    <cfRule type="expression" dxfId="4" priority="2">
      <formula>CELL("protect",A1)=0</formula>
    </cfRule>
  </conditionalFormatting>
  <dataValidations count="1">
    <dataValidation type="list" allowBlank="1" showInputMessage="1" showErrorMessage="1" sqref="Q9:Q10 U9:U10 L13 M14:M17 L23 M24:M27 L36 A485 O42 U482 D27:D28 U50 O33 Q63 L68:L74 O71 M75 Y62:Y63 AC62:AC63 Q88:Q89 U88 L95:L97 O97 R103 M295:M300 Y87:Y88 Q127:Q128 U127 L134:L135 M136 O144:O145 R145 P137 O142 S143 Y126:Y127 M98 R275 Q172:Q173 U172 L179:L180 R186 Y171:Y172 F97:F98 U210 Q208 L216 A55 O220 P221 M224 Q224:Q225 O226 R226 Y208:Y209 U232 Q230 Q232 L239 O480:O482 O243 P244 M247 Q247:Q248 O249 R249 Y230:Y231 L241:L243 M263 F218 R19:R20 A97 L218:L220 M181 U255 Q253 Q255 L262 L373:L380 O266 P267 M270 Q270:Q271 O272 R272 Y253:Y254 L264:L266 R448 L281 O285 P286 M289 Q289:Q290 O291 R291 O448 F241 L246 F243 F220 L301 O305 P306 M309 Q309:Q310 O311 R311 U361:U362 Q315 L324 L326:L328 O328 Q317 P329 M331 O333:O334 R334 Y315:Y316 L473:L482 F303 Q338 Q340 L348 L350:L352 O352 P353 M355 O357:O358 R358 Y338:Y339 A326 Q362 Q364 L371 F325:F327 R377 Y362:Y363 Q401 Q403 L411 L413:L415 O415 P416 M418 R421 O420:O421 Y401:Y402 D326 R380 R361 F288 Q425 Q427 L435 L437:L439 O439 P440 M442 R445 O444:O445 Y425:Y426 F412:F413 Q449 Q451 L459 R465 Y449:Y450 L357:L361 Y469:Y470 Q469 AC469:AC470 O294 F216 O101:O103 N143 O184:O186 Q331:Q332 Q355:Q356 O375:O377 Q418:Q419 Q442:Q443 O463:O465 A27 M217 M240 L283:L285 L303:L305 O477 L484 F459:F460 A494 A263 M37:M40 M29 M460 D490 L138:L142 A74 M171:M178 L166:L170 M282 M302 M325 M349 M372 M412 M436 R80:R83 U148 O424 M485:M488 R424 M50:M53 M315:M323 D73:D76 D54:D56 AC11:AC12 U400:U401 L223 U424:U425 A218 F214 F224 U448:U449 L444:L448 A305 D305 L76:L86 D284 D371 O400 A371 A199 F222 F282 D412 O337 O361 R314 U337:U338 L311:L314 Y295:Y296 O473 L28 O28 A284 L48:L49 L30:L33 O18:O20 M44:M47 A46 Y43:Y44 L461:L468 O78:O83 M276:M280 M62:M67 Q210 Y11:Y12 A136 O223 A180 M34:M35 D241 O246 F239 O269 L269 D218 A241 L288 O288 D263:D264 F263:F264 L308 O308 F286 F284 U229:U230 F305 A412 R337 O314 M401:M410 M362:M370 Y21:Y22 M9:M12 M208:M215 M230:M238 R468 U207:U208 M253:M261 Y276:Y277 R294 L333:L337 A475 F307 M21:M22 U314:U315 A490 L118:L125 L492 M493:M496 Q50:Q51 A38 Y50:Y51 U468 O468 L41:L43 L18:L20 D494 A16 O60:O61 D37:D39 L54:L61 Y483:Y484 R481:R482 U20 I492:I496 M425:M434 R60:R61 M449:M458 M469:M472 U61 M483 U86 O86 U106 R86 O106 R106 O148 R148 O189 L226:L229 L420:L424 R189 O229 L249:L252 R229 U252:U253 O252 R252 L272:L275 D349 U275 O275 L291:L294 Y34:Y35 U294 D474:D476 F474:F475 Y489:Y490 Y492:Y493 A459 D459 D436 A436 M338:M347 D97 L99:L106 Q108:Q109 U108 L114:L116 O116 R122 Y107:Y108 M117 F116:F117 A116 O120:O122 M107:M113 F390 U125 O125 R125 M87:M94 D136:D137 L144:L148 Q150:Q151 U150 L156:L157 M158 O166:O167 R167 P159 O164 S165 Y149:Y150 N165 L160:L164 M126:M133 U170 A158 M149:M155 O170 R170 D158:D159 L200:L207 U189 L182:L189 Q191:Q192 U191 L197:L198 R204 Y190:Y191 M199 O202:O204 D180 D199 M190:M196 O207 R207 F348:F350 A349 M381:M390 U380:U381 O380 L393:L400 Q381 Q383 L391 R397 Y381:Y382 R400 O395:O397 M392 I9:I488 F371 D390 A390 D116" xr:uid="{6CB0622C-77B1-415D-B2BB-35D9F21571BD}">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27" manualBreakCount="27">
    <brk id="20" max="16383" man="1"/>
    <brk id="33" max="16383" man="1"/>
    <brk id="42" max="16383" man="1"/>
    <brk id="49" min="4" max="31" man="1"/>
    <brk id="61" max="16383" man="1"/>
    <brk id="86" min="4" max="31" man="1"/>
    <brk id="106" max="16383" man="1"/>
    <brk id="125" max="16383" man="1"/>
    <brk id="148" max="16383" man="1"/>
    <brk id="170" min="4" max="31" man="1"/>
    <brk id="189" max="16383" man="1"/>
    <brk id="207" max="16383" man="1"/>
    <brk id="229" max="16383" man="1"/>
    <brk id="252" min="4" max="31" man="1"/>
    <brk id="275" max="16383" man="1"/>
    <brk id="294" min="4" max="31" man="1"/>
    <brk id="314" max="16383" man="1"/>
    <brk id="337" max="16383" man="1"/>
    <brk id="361" min="4" max="31" man="1"/>
    <brk id="380" max="16383" man="1"/>
    <brk id="400" max="16383" man="1"/>
    <brk id="424" max="16383" man="1"/>
    <brk id="448" min="4" max="31" man="1"/>
    <brk id="468" max="16383" man="1"/>
    <brk id="482" max="16383" man="1"/>
    <brk id="488" max="16383" man="1"/>
    <brk id="491" max="16383" man="1"/>
  </rowBreaks>
  <extLst>
    <ext xmlns:x14="http://schemas.microsoft.com/office/spreadsheetml/2009/9/main" uri="{78C0D931-6437-407d-A8EE-F0AAD7539E65}">
      <x14:conditionalFormattings>
        <x14:conditionalFormatting xmlns:xm="http://schemas.microsoft.com/office/excel/2006/main">
          <x14:cfRule type="expression" priority="1" id="{DD56F11F-338E-4107-9703-595D3649EA1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F701-CCD9-4C12-A16C-177D447D4DC7}">
  <sheetPr>
    <pageSetUpPr fitToPage="1"/>
  </sheetPr>
  <dimension ref="A2:AI18"/>
  <sheetViews>
    <sheetView view="pageBreakPreview" zoomScale="70" zoomScaleNormal="75" zoomScaleSheetLayoutView="70" workbookViewId="0"/>
  </sheetViews>
  <sheetFormatPr defaultRowHeight="13.5" x14ac:dyDescent="0.15"/>
  <cols>
    <col min="1" max="2" width="4.25" style="102" customWidth="1"/>
    <col min="3" max="3" width="25" style="103" customWidth="1"/>
    <col min="4" max="4" width="4.875" style="103" customWidth="1"/>
    <col min="5" max="5" width="41.625" style="103" customWidth="1"/>
    <col min="6" max="6" width="4.875" style="103" customWidth="1"/>
    <col min="7" max="7" width="19.625" style="103" customWidth="1"/>
    <col min="8" max="8" width="33.875" style="103" customWidth="1"/>
    <col min="9" max="24" width="5.25" style="103" customWidth="1"/>
    <col min="25" max="32" width="4.875" style="103" customWidth="1"/>
    <col min="33" max="33" width="13.375" style="103" hidden="1" customWidth="1"/>
    <col min="34" max="38" width="0" style="103" hidden="1" customWidth="1"/>
    <col min="39" max="16384" width="9" style="103"/>
  </cols>
  <sheetData>
    <row r="2" spans="1:35" ht="20.25" customHeight="1" x14ac:dyDescent="0.15">
      <c r="A2" s="279" t="s">
        <v>558</v>
      </c>
      <c r="B2" s="279"/>
    </row>
    <row r="3" spans="1:35" ht="20.25" customHeight="1" x14ac:dyDescent="0.15">
      <c r="A3" s="317" t="s">
        <v>564</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5" ht="20.25" customHeight="1" x14ac:dyDescent="0.15">
      <c r="AG4" s="141" t="s">
        <v>556</v>
      </c>
    </row>
    <row r="5" spans="1:35" ht="27" customHeight="1" x14ac:dyDescent="0.15">
      <c r="I5" s="321" t="s">
        <v>560</v>
      </c>
      <c r="J5" s="321"/>
      <c r="K5" s="321"/>
      <c r="L5" s="321"/>
      <c r="M5" s="321"/>
      <c r="N5" s="321"/>
      <c r="O5" s="321"/>
      <c r="P5" s="321"/>
      <c r="Q5" s="321"/>
      <c r="R5" s="321"/>
      <c r="S5" s="321"/>
      <c r="T5" s="321"/>
      <c r="U5" s="321"/>
      <c r="V5" s="321"/>
      <c r="W5" s="321"/>
      <c r="X5" s="319" t="s">
        <v>84</v>
      </c>
      <c r="Y5" s="319"/>
      <c r="Z5" s="320"/>
      <c r="AA5" s="322" t="s">
        <v>561</v>
      </c>
      <c r="AB5" s="323"/>
      <c r="AC5" s="323"/>
      <c r="AD5" s="323"/>
      <c r="AE5" s="323"/>
      <c r="AF5" s="324"/>
    </row>
    <row r="6" spans="1:35" ht="27.75" customHeight="1" x14ac:dyDescent="0.15">
      <c r="I6" s="321" t="s">
        <v>21</v>
      </c>
      <c r="J6" s="321"/>
      <c r="K6" s="321"/>
      <c r="L6" s="321"/>
      <c r="M6" s="321"/>
      <c r="N6" s="325" t="s">
        <v>562</v>
      </c>
      <c r="O6" s="325"/>
      <c r="P6" s="325"/>
      <c r="Q6" s="325"/>
      <c r="R6" s="325"/>
      <c r="S6" s="325"/>
      <c r="T6" s="325"/>
      <c r="U6" s="325"/>
      <c r="V6" s="325"/>
      <c r="W6" s="325"/>
      <c r="X6" s="321" t="s">
        <v>563</v>
      </c>
      <c r="Y6" s="321"/>
      <c r="Z6" s="321"/>
      <c r="AA6" s="120"/>
      <c r="AB6" s="121" t="s">
        <v>36</v>
      </c>
      <c r="AC6" s="121"/>
      <c r="AD6" s="121" t="s">
        <v>553</v>
      </c>
      <c r="AE6" s="121"/>
      <c r="AF6" s="122" t="s">
        <v>554</v>
      </c>
    </row>
    <row r="7" spans="1:35" ht="20.25" customHeight="1" x14ac:dyDescent="0.15">
      <c r="AG7" s="119"/>
    </row>
    <row r="8" spans="1:35" ht="17.25" customHeight="1" x14ac:dyDescent="0.15">
      <c r="A8" s="318" t="s">
        <v>85</v>
      </c>
      <c r="B8" s="319"/>
      <c r="C8" s="320"/>
      <c r="D8" s="318" t="s">
        <v>1</v>
      </c>
      <c r="E8" s="320"/>
      <c r="F8" s="318" t="s">
        <v>86</v>
      </c>
      <c r="G8" s="320"/>
      <c r="H8" s="318" t="s">
        <v>160</v>
      </c>
      <c r="I8" s="319"/>
      <c r="J8" s="319"/>
      <c r="K8" s="319"/>
      <c r="L8" s="319"/>
      <c r="M8" s="319"/>
      <c r="N8" s="319"/>
      <c r="O8" s="319"/>
      <c r="P8" s="319"/>
      <c r="Q8" s="319"/>
      <c r="R8" s="319"/>
      <c r="S8" s="319"/>
      <c r="T8" s="319"/>
      <c r="U8" s="319"/>
      <c r="V8" s="319"/>
      <c r="W8" s="319"/>
      <c r="X8" s="319"/>
      <c r="Y8" s="319"/>
      <c r="Z8" s="319"/>
      <c r="AA8" s="319"/>
      <c r="AB8" s="319"/>
      <c r="AC8" s="319"/>
      <c r="AD8" s="319"/>
      <c r="AE8" s="319"/>
      <c r="AF8" s="320"/>
      <c r="AG8" s="119"/>
    </row>
    <row r="9" spans="1:35" ht="18.75" customHeight="1" x14ac:dyDescent="0.15">
      <c r="A9" s="334" t="s">
        <v>88</v>
      </c>
      <c r="B9" s="335"/>
      <c r="C9" s="336"/>
      <c r="D9" s="268"/>
      <c r="E9" s="213"/>
      <c r="F9" s="133"/>
      <c r="G9" s="135"/>
      <c r="H9" s="340" t="s">
        <v>89</v>
      </c>
      <c r="I9" s="140" t="s">
        <v>348</v>
      </c>
      <c r="J9" s="124" t="s">
        <v>204</v>
      </c>
      <c r="K9" s="125"/>
      <c r="L9" s="125"/>
      <c r="M9" s="136" t="s">
        <v>348</v>
      </c>
      <c r="N9" s="124" t="s">
        <v>205</v>
      </c>
      <c r="O9" s="125"/>
      <c r="P9" s="125"/>
      <c r="Q9" s="136" t="s">
        <v>348</v>
      </c>
      <c r="R9" s="124" t="s">
        <v>206</v>
      </c>
      <c r="S9" s="125"/>
      <c r="T9" s="125"/>
      <c r="U9" s="136" t="s">
        <v>348</v>
      </c>
      <c r="V9" s="124" t="s">
        <v>207</v>
      </c>
      <c r="W9" s="125"/>
      <c r="X9" s="125"/>
      <c r="Y9" s="124"/>
      <c r="Z9" s="125"/>
      <c r="AA9" s="125"/>
      <c r="AB9" s="125"/>
      <c r="AC9" s="125"/>
      <c r="AD9" s="125"/>
      <c r="AE9" s="125"/>
      <c r="AF9" s="126"/>
      <c r="AG9" s="119" t="str">
        <f>"tiikikbn_code:"&amp; IF(I9="■",1,IF(M9="■",6,IF(Q9="■",7,IF(U9="■",2,IF(I10="■",3,IF(M10="■",4,IF(Q10="■",9,IF(U10="■",5,0))))))))</f>
        <v>tiikikbn_code:0</v>
      </c>
    </row>
    <row r="10" spans="1:35" ht="18.75" customHeight="1" x14ac:dyDescent="0.15">
      <c r="A10" s="396"/>
      <c r="B10" s="397"/>
      <c r="C10" s="398"/>
      <c r="D10" s="270"/>
      <c r="E10" s="216"/>
      <c r="F10" s="173"/>
      <c r="G10" s="176"/>
      <c r="H10" s="399"/>
      <c r="I10" s="271" t="s">
        <v>348</v>
      </c>
      <c r="J10" s="99" t="s">
        <v>208</v>
      </c>
      <c r="K10" s="272"/>
      <c r="L10" s="272"/>
      <c r="M10" s="200" t="s">
        <v>348</v>
      </c>
      <c r="N10" s="99" t="s">
        <v>209</v>
      </c>
      <c r="O10" s="272"/>
      <c r="P10" s="272"/>
      <c r="Q10" s="200" t="s">
        <v>348</v>
      </c>
      <c r="R10" s="99" t="s">
        <v>210</v>
      </c>
      <c r="S10" s="272"/>
      <c r="T10" s="272"/>
      <c r="U10" s="200" t="s">
        <v>348</v>
      </c>
      <c r="V10" s="99" t="s">
        <v>211</v>
      </c>
      <c r="W10" s="272"/>
      <c r="X10" s="272"/>
      <c r="Y10" s="273"/>
      <c r="Z10" s="304"/>
      <c r="AA10" s="304"/>
      <c r="AB10" s="304"/>
      <c r="AC10" s="304"/>
      <c r="AD10" s="304"/>
      <c r="AE10" s="304"/>
      <c r="AF10" s="305"/>
      <c r="AG10" s="119"/>
    </row>
    <row r="11" spans="1:35" s="119" customFormat="1" ht="19.5" customHeight="1" x14ac:dyDescent="0.15">
      <c r="A11" s="130"/>
      <c r="B11" s="131"/>
      <c r="C11" s="132"/>
      <c r="D11" s="133"/>
      <c r="E11" s="126"/>
      <c r="F11" s="134"/>
      <c r="G11" s="135"/>
      <c r="H11" s="182" t="s">
        <v>390</v>
      </c>
      <c r="I11" s="183" t="s">
        <v>348</v>
      </c>
      <c r="J11" s="184" t="s">
        <v>360</v>
      </c>
      <c r="K11" s="185"/>
      <c r="L11" s="186"/>
      <c r="M11" s="187" t="s">
        <v>348</v>
      </c>
      <c r="N11" s="184" t="s">
        <v>370</v>
      </c>
      <c r="O11" s="193"/>
      <c r="P11" s="184"/>
      <c r="Q11" s="188"/>
      <c r="R11" s="188"/>
      <c r="S11" s="188"/>
      <c r="T11" s="188"/>
      <c r="U11" s="188"/>
      <c r="V11" s="188"/>
      <c r="W11" s="188"/>
      <c r="X11" s="188"/>
      <c r="Y11" s="188"/>
      <c r="Z11" s="184"/>
      <c r="AA11" s="184"/>
      <c r="AB11" s="306"/>
      <c r="AC11" s="186"/>
      <c r="AD11" s="186"/>
      <c r="AE11" s="186"/>
      <c r="AF11" s="307"/>
      <c r="AG11" s="119" t="str">
        <f>"ser_code = '" &amp; IF(A13="■","63S","") &amp; "'"</f>
        <v>ser_code = ''</v>
      </c>
      <c r="AI11" s="119" t="str">
        <f>"63:field232:" &amp; IF(I11="■",1,IF(M11="■",2,0))</f>
        <v>63:field232:0</v>
      </c>
    </row>
    <row r="12" spans="1:35" ht="18.75" customHeight="1" x14ac:dyDescent="0.15">
      <c r="A12" s="107"/>
      <c r="B12" s="108"/>
      <c r="C12" s="109"/>
      <c r="D12" s="110"/>
      <c r="E12" s="111"/>
      <c r="F12" s="255"/>
      <c r="G12" s="113"/>
      <c r="H12" s="308" t="s">
        <v>127</v>
      </c>
      <c r="I12" s="143" t="s">
        <v>348</v>
      </c>
      <c r="J12" s="115" t="s">
        <v>216</v>
      </c>
      <c r="K12" s="166"/>
      <c r="L12" s="191" t="s">
        <v>348</v>
      </c>
      <c r="M12" s="115" t="s">
        <v>232</v>
      </c>
      <c r="N12" s="166"/>
      <c r="O12" s="145"/>
      <c r="P12" s="145"/>
      <c r="Q12" s="145"/>
      <c r="R12" s="145"/>
      <c r="S12" s="145"/>
      <c r="T12" s="145"/>
      <c r="U12" s="145"/>
      <c r="V12" s="145"/>
      <c r="W12" s="145"/>
      <c r="X12" s="145"/>
      <c r="Y12" s="145"/>
      <c r="Z12" s="145"/>
      <c r="AA12" s="145"/>
      <c r="AB12" s="145"/>
      <c r="AC12" s="145"/>
      <c r="AD12" s="145"/>
      <c r="AE12" s="145"/>
      <c r="AF12" s="146"/>
      <c r="AG12" s="119" t="str">
        <f>"63:sisetukbn_code:" &amp; IF(D13="■",1,IF(D14="■",2,0))</f>
        <v>63:sisetukbn_code:0</v>
      </c>
      <c r="AI12" s="119" t="str">
        <f>"63:tokutiiki_code:" &amp; IF(I12="■",1,IF(L12="■",2,0))</f>
        <v>63:tokutiiki_code:0</v>
      </c>
    </row>
    <row r="13" spans="1:35" ht="18.75" customHeight="1" x14ac:dyDescent="0.15">
      <c r="A13" s="295" t="s">
        <v>348</v>
      </c>
      <c r="B13" s="108">
        <v>63</v>
      </c>
      <c r="C13" s="109" t="s">
        <v>452</v>
      </c>
      <c r="D13" s="295" t="s">
        <v>348</v>
      </c>
      <c r="E13" s="111" t="s">
        <v>565</v>
      </c>
      <c r="F13" s="255"/>
      <c r="G13" s="113"/>
      <c r="H13" s="393" t="s">
        <v>180</v>
      </c>
      <c r="I13" s="342" t="s">
        <v>348</v>
      </c>
      <c r="J13" s="343" t="s">
        <v>222</v>
      </c>
      <c r="K13" s="343"/>
      <c r="L13" s="343"/>
      <c r="M13" s="342" t="s">
        <v>348</v>
      </c>
      <c r="N13" s="343" t="s">
        <v>223</v>
      </c>
      <c r="O13" s="343"/>
      <c r="P13" s="343"/>
      <c r="Q13" s="241"/>
      <c r="R13" s="241"/>
      <c r="S13" s="241"/>
      <c r="T13" s="241"/>
      <c r="U13" s="241"/>
      <c r="V13" s="241"/>
      <c r="W13" s="241"/>
      <c r="X13" s="241"/>
      <c r="Y13" s="241"/>
      <c r="Z13" s="241"/>
      <c r="AA13" s="241"/>
      <c r="AB13" s="241"/>
      <c r="AC13" s="241"/>
      <c r="AD13" s="241"/>
      <c r="AE13" s="241"/>
      <c r="AF13" s="242"/>
      <c r="AG13" s="119"/>
      <c r="AI13" s="119" t="str">
        <f>"63:chuusankanti_tiiki_code:" &amp; IF(I13="■",1,IF(M13="■",2,0))</f>
        <v>63:chuusankanti_tiiki_code:0</v>
      </c>
    </row>
    <row r="14" spans="1:35" ht="18.75" customHeight="1" x14ac:dyDescent="0.15">
      <c r="A14" s="107"/>
      <c r="B14" s="108"/>
      <c r="C14" s="109"/>
      <c r="D14" s="295" t="s">
        <v>348</v>
      </c>
      <c r="E14" s="111" t="s">
        <v>239</v>
      </c>
      <c r="F14" s="255"/>
      <c r="G14" s="113"/>
      <c r="H14" s="395"/>
      <c r="I14" s="331"/>
      <c r="J14" s="333"/>
      <c r="K14" s="333"/>
      <c r="L14" s="333"/>
      <c r="M14" s="331"/>
      <c r="N14" s="333"/>
      <c r="O14" s="333"/>
      <c r="P14" s="333"/>
      <c r="Q14" s="145"/>
      <c r="R14" s="145"/>
      <c r="S14" s="145"/>
      <c r="T14" s="145"/>
      <c r="U14" s="145"/>
      <c r="V14" s="145"/>
      <c r="W14" s="145"/>
      <c r="X14" s="145"/>
      <c r="Y14" s="145"/>
      <c r="Z14" s="145"/>
      <c r="AA14" s="145"/>
      <c r="AB14" s="145"/>
      <c r="AC14" s="145"/>
      <c r="AD14" s="145"/>
      <c r="AE14" s="145"/>
      <c r="AF14" s="146"/>
      <c r="AI14" s="119"/>
    </row>
    <row r="15" spans="1:35" ht="18.75" customHeight="1" x14ac:dyDescent="0.15">
      <c r="A15" s="107"/>
      <c r="B15" s="108"/>
      <c r="C15" s="109"/>
      <c r="D15" s="110"/>
      <c r="E15" s="111"/>
      <c r="F15" s="255"/>
      <c r="G15" s="113"/>
      <c r="H15" s="393" t="s">
        <v>181</v>
      </c>
      <c r="I15" s="354" t="s">
        <v>348</v>
      </c>
      <c r="J15" s="343" t="s">
        <v>222</v>
      </c>
      <c r="K15" s="343"/>
      <c r="L15" s="343"/>
      <c r="M15" s="342" t="s">
        <v>348</v>
      </c>
      <c r="N15" s="343" t="s">
        <v>223</v>
      </c>
      <c r="O15" s="343"/>
      <c r="P15" s="343"/>
      <c r="Q15" s="241"/>
      <c r="R15" s="241"/>
      <c r="S15" s="241"/>
      <c r="T15" s="241"/>
      <c r="U15" s="241"/>
      <c r="V15" s="241"/>
      <c r="W15" s="241"/>
      <c r="X15" s="241"/>
      <c r="Y15" s="241"/>
      <c r="Z15" s="241"/>
      <c r="AA15" s="241"/>
      <c r="AB15" s="241"/>
      <c r="AC15" s="241"/>
      <c r="AD15" s="241"/>
      <c r="AE15" s="241"/>
      <c r="AF15" s="242"/>
      <c r="AI15" s="119" t="str">
        <f>"63:chuusankanti_kibo_code:" &amp; IF(I15="■",1,IF(M15="■",2,0))</f>
        <v>63:chuusankanti_kibo_code:0</v>
      </c>
    </row>
    <row r="16" spans="1:35" ht="18.75" customHeight="1" x14ac:dyDescent="0.15">
      <c r="A16" s="170"/>
      <c r="B16" s="171"/>
      <c r="C16" s="172"/>
      <c r="D16" s="173"/>
      <c r="E16" s="174"/>
      <c r="F16" s="309"/>
      <c r="G16" s="176"/>
      <c r="H16" s="394"/>
      <c r="I16" s="391"/>
      <c r="J16" s="380"/>
      <c r="K16" s="380"/>
      <c r="L16" s="380"/>
      <c r="M16" s="392"/>
      <c r="N16" s="380"/>
      <c r="O16" s="380"/>
      <c r="P16" s="380"/>
      <c r="Q16" s="202"/>
      <c r="R16" s="202"/>
      <c r="S16" s="202"/>
      <c r="T16" s="202"/>
      <c r="U16" s="202"/>
      <c r="V16" s="202"/>
      <c r="W16" s="202"/>
      <c r="X16" s="202"/>
      <c r="Y16" s="202"/>
      <c r="Z16" s="202"/>
      <c r="AA16" s="202"/>
      <c r="AB16" s="202"/>
      <c r="AC16" s="202"/>
      <c r="AD16" s="202"/>
      <c r="AE16" s="202"/>
      <c r="AF16" s="203"/>
    </row>
    <row r="17" spans="1:28" ht="8.25" customHeight="1" x14ac:dyDescent="0.15">
      <c r="A17" s="278"/>
      <c r="B17" s="278"/>
      <c r="G17" s="104"/>
      <c r="H17" s="104"/>
      <c r="I17" s="104"/>
      <c r="J17" s="104"/>
      <c r="K17" s="104"/>
      <c r="L17" s="104"/>
      <c r="M17" s="104"/>
      <c r="N17" s="104"/>
      <c r="O17" s="104"/>
      <c r="P17" s="104"/>
      <c r="Q17" s="104"/>
      <c r="R17" s="104"/>
      <c r="S17" s="104"/>
      <c r="T17" s="104"/>
      <c r="U17" s="104"/>
      <c r="V17" s="104"/>
      <c r="W17" s="104"/>
      <c r="X17" s="104"/>
      <c r="Y17" s="104"/>
      <c r="Z17" s="104"/>
      <c r="AA17" s="104"/>
      <c r="AB17" s="104"/>
    </row>
    <row r="18" spans="1:28" ht="20.25" customHeight="1" x14ac:dyDescent="0.15">
      <c r="A18" s="277"/>
      <c r="B18" s="277"/>
      <c r="C18" s="104" t="s">
        <v>161</v>
      </c>
      <c r="D18" s="104"/>
      <c r="E18" s="278"/>
      <c r="F18" s="278"/>
      <c r="G18" s="278"/>
      <c r="H18" s="278"/>
      <c r="I18" s="278"/>
      <c r="J18" s="278"/>
      <c r="K18" s="278"/>
      <c r="L18" s="278"/>
      <c r="M18" s="278"/>
      <c r="N18" s="278"/>
      <c r="O18" s="278"/>
      <c r="P18" s="278"/>
      <c r="Q18" s="278"/>
      <c r="R18" s="278"/>
      <c r="S18" s="278"/>
      <c r="T18" s="278"/>
      <c r="U18" s="278"/>
      <c r="V18" s="278"/>
    </row>
  </sheetData>
  <mergeCells count="24">
    <mergeCell ref="A3:AF3"/>
    <mergeCell ref="AA5:AF5"/>
    <mergeCell ref="I6:M6"/>
    <mergeCell ref="N6:W6"/>
    <mergeCell ref="X6:Z6"/>
    <mergeCell ref="I5:M5"/>
    <mergeCell ref="N5:W5"/>
    <mergeCell ref="X5:Z5"/>
    <mergeCell ref="A8:C8"/>
    <mergeCell ref="D8:E8"/>
    <mergeCell ref="F8:G8"/>
    <mergeCell ref="H8:AF8"/>
    <mergeCell ref="A9:C10"/>
    <mergeCell ref="H9:H10"/>
    <mergeCell ref="H15:H16"/>
    <mergeCell ref="I15:I16"/>
    <mergeCell ref="J15:L16"/>
    <mergeCell ref="M15:M16"/>
    <mergeCell ref="N15:P16"/>
    <mergeCell ref="H13:H14"/>
    <mergeCell ref="I13:I14"/>
    <mergeCell ref="J13:L14"/>
    <mergeCell ref="M13:M14"/>
    <mergeCell ref="N13:P14"/>
  </mergeCells>
  <phoneticPr fontId="1"/>
  <conditionalFormatting sqref="A3:AF4 A7:AF1048576">
    <cfRule type="expression" dxfId="2" priority="4">
      <formula>CELL("protect",A3)=0</formula>
    </cfRule>
  </conditionalFormatting>
  <conditionalFormatting sqref="A1:AF2">
    <cfRule type="expression" dxfId="1" priority="3">
      <formula>CELL("protect",A1)=0</formula>
    </cfRule>
  </conditionalFormatting>
  <dataValidations count="1">
    <dataValidation type="list" allowBlank="1" showInputMessage="1" showErrorMessage="1" sqref="U9:U10 M9:M11 L12 I9:I16 M13:M16 Q9:Q10 A13 D13:D14" xr:uid="{8121DD56-89CE-49E7-9230-2B63D0382087}">
      <formula1>"□,■"</formula1>
    </dataValidation>
  </dataValidations>
  <pageMargins left="0.70866141732283472" right="0.70866141732283472" top="0.74803149606299213" bottom="0.74803149606299213" header="0.31496062992125984" footer="0.31496062992125984"/>
  <pageSetup paperSize="9" scale="51"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18B71B87-FE0C-4AB8-86E1-5AD24895EA44}">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24D54-7194-42D5-9975-60DBA450DD82}">
  <sheetPr codeName="Sheet4">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ht="20.25" customHeight="1" x14ac:dyDescent="0.15">
      <c r="A1" s="310"/>
      <c r="B1" s="91" t="s">
        <v>526</v>
      </c>
      <c r="C1"/>
      <c r="D1"/>
      <c r="E1"/>
      <c r="F1"/>
      <c r="G1"/>
      <c r="H1"/>
      <c r="I1"/>
      <c r="J1"/>
      <c r="K1"/>
    </row>
    <row r="3" spans="1:14" ht="21" customHeight="1" x14ac:dyDescent="0.15">
      <c r="A3" s="92"/>
      <c r="B3" s="401" t="s">
        <v>527</v>
      </c>
      <c r="C3" s="401"/>
      <c r="D3" s="401"/>
      <c r="E3" s="401"/>
      <c r="F3" s="401"/>
      <c r="G3" s="401"/>
      <c r="H3" s="401"/>
      <c r="I3" s="401"/>
      <c r="J3" s="401"/>
      <c r="K3" s="401"/>
      <c r="L3" s="401"/>
      <c r="M3" s="401"/>
      <c r="N3" s="401"/>
    </row>
    <row r="4" spans="1:14" ht="20.25" customHeight="1" x14ac:dyDescent="0.15">
      <c r="A4" s="92"/>
      <c r="B4" s="2" t="s">
        <v>458</v>
      </c>
      <c r="C4" s="3"/>
      <c r="D4" s="3"/>
      <c r="E4" s="3"/>
      <c r="F4" s="3"/>
      <c r="G4" s="3"/>
      <c r="H4" s="3"/>
      <c r="I4" s="3"/>
      <c r="J4" s="3"/>
      <c r="K4" s="3"/>
    </row>
    <row r="5" spans="1:14" ht="20.25" customHeight="1" x14ac:dyDescent="0.15">
      <c r="A5" s="92"/>
      <c r="B5" s="2" t="s">
        <v>459</v>
      </c>
      <c r="C5" s="3"/>
      <c r="D5" s="3"/>
      <c r="E5" s="3"/>
      <c r="F5" s="3"/>
      <c r="G5" s="3"/>
      <c r="H5" s="3"/>
      <c r="I5" s="3"/>
      <c r="J5" s="3"/>
      <c r="K5" s="3"/>
    </row>
    <row r="6" spans="1:14" ht="20.25" customHeight="1" x14ac:dyDescent="0.15">
      <c r="A6" s="92"/>
      <c r="B6" s="2" t="s">
        <v>460</v>
      </c>
      <c r="C6" s="3"/>
      <c r="D6" s="3"/>
      <c r="E6" s="3"/>
      <c r="F6" s="3"/>
      <c r="G6" s="3"/>
      <c r="H6" s="3"/>
      <c r="I6" s="3"/>
      <c r="J6" s="3"/>
      <c r="K6" s="3"/>
    </row>
    <row r="7" spans="1:14" ht="20.25" customHeight="1" x14ac:dyDescent="0.15">
      <c r="A7" s="92"/>
      <c r="B7" s="2" t="s">
        <v>461</v>
      </c>
      <c r="C7" s="3"/>
      <c r="D7" s="3"/>
      <c r="E7" s="3"/>
      <c r="F7" s="3"/>
      <c r="G7" s="3"/>
      <c r="H7" s="3"/>
      <c r="I7" s="3"/>
      <c r="J7" s="3"/>
      <c r="K7" s="3"/>
    </row>
    <row r="8" spans="1:14" ht="20.25" customHeight="1" x14ac:dyDescent="0.15">
      <c r="A8" s="92"/>
      <c r="B8" s="2" t="s">
        <v>462</v>
      </c>
      <c r="C8" s="3"/>
      <c r="D8" s="3"/>
      <c r="E8" s="3"/>
      <c r="F8" s="3"/>
      <c r="G8" s="3"/>
      <c r="H8" s="3"/>
      <c r="I8" s="3"/>
      <c r="J8" s="3"/>
      <c r="K8" s="3"/>
    </row>
    <row r="9" spans="1:14" ht="20.25" customHeight="1" x14ac:dyDescent="0.15">
      <c r="A9" s="92"/>
      <c r="B9" s="2" t="s">
        <v>528</v>
      </c>
      <c r="C9" s="3"/>
      <c r="D9" s="3"/>
      <c r="E9" s="3"/>
      <c r="F9" s="3"/>
      <c r="G9" s="3"/>
      <c r="H9" s="3"/>
      <c r="I9" s="3"/>
      <c r="J9" s="3"/>
      <c r="K9" s="3"/>
    </row>
    <row r="10" spans="1:14" ht="20.25" customHeight="1" x14ac:dyDescent="0.15">
      <c r="A10"/>
      <c r="B10" s="2" t="s">
        <v>529</v>
      </c>
      <c r="C10"/>
      <c r="D10"/>
      <c r="E10"/>
      <c r="F10"/>
      <c r="G10"/>
      <c r="H10"/>
      <c r="I10"/>
      <c r="J10"/>
      <c r="K10"/>
    </row>
    <row r="11" spans="1:14" ht="59.25" customHeight="1" x14ac:dyDescent="0.15">
      <c r="A11"/>
      <c r="B11" s="400" t="s">
        <v>530</v>
      </c>
      <c r="C11" s="401"/>
      <c r="D11" s="401"/>
      <c r="E11" s="401"/>
      <c r="F11" s="401"/>
      <c r="G11" s="401"/>
      <c r="H11" s="401"/>
      <c r="I11" s="401"/>
      <c r="J11"/>
      <c r="K11"/>
    </row>
    <row r="12" spans="1:14" ht="20.25" customHeight="1" x14ac:dyDescent="0.15">
      <c r="A12"/>
      <c r="B12" s="2" t="s">
        <v>531</v>
      </c>
      <c r="C12"/>
      <c r="D12"/>
      <c r="E12"/>
      <c r="F12"/>
      <c r="G12"/>
      <c r="H12"/>
      <c r="I12"/>
      <c r="J12"/>
      <c r="K12"/>
    </row>
    <row r="13" spans="1:14" ht="20.25" customHeight="1" x14ac:dyDescent="0.15">
      <c r="A13"/>
      <c r="B13" s="2" t="s">
        <v>532</v>
      </c>
      <c r="C13"/>
      <c r="D13"/>
      <c r="E13"/>
      <c r="F13"/>
      <c r="G13"/>
      <c r="H13"/>
      <c r="I13"/>
      <c r="J13"/>
      <c r="K13"/>
    </row>
    <row r="14" spans="1:14" ht="20.25" customHeight="1" x14ac:dyDescent="0.15">
      <c r="A14"/>
      <c r="B14" s="2" t="s">
        <v>533</v>
      </c>
      <c r="C14"/>
      <c r="D14"/>
      <c r="E14"/>
      <c r="F14"/>
      <c r="G14"/>
      <c r="H14"/>
      <c r="I14"/>
      <c r="J14"/>
      <c r="K14"/>
    </row>
    <row r="15" spans="1:14" ht="20.25" customHeight="1" x14ac:dyDescent="0.15">
      <c r="A15"/>
      <c r="B15" s="2" t="s">
        <v>472</v>
      </c>
      <c r="C15"/>
      <c r="D15"/>
      <c r="E15"/>
      <c r="F15"/>
      <c r="G15"/>
      <c r="H15"/>
      <c r="I15"/>
      <c r="J15"/>
      <c r="K15"/>
    </row>
    <row r="16" spans="1:14" ht="20.25" customHeight="1" x14ac:dyDescent="0.15">
      <c r="A16"/>
      <c r="B16" s="2" t="s">
        <v>534</v>
      </c>
      <c r="C16"/>
      <c r="D16"/>
      <c r="E16"/>
      <c r="F16"/>
      <c r="G16"/>
      <c r="H16"/>
      <c r="I16"/>
      <c r="J16"/>
      <c r="K16"/>
    </row>
    <row r="17" spans="1:11" ht="20.25" customHeight="1" x14ac:dyDescent="0.15">
      <c r="A17"/>
      <c r="B17" s="2" t="s">
        <v>535</v>
      </c>
      <c r="C17"/>
      <c r="D17"/>
      <c r="E17"/>
      <c r="F17"/>
      <c r="G17"/>
      <c r="H17"/>
      <c r="I17"/>
      <c r="J17"/>
      <c r="K17"/>
    </row>
    <row r="18" spans="1:11" ht="20.25" customHeight="1" x14ac:dyDescent="0.15">
      <c r="A18"/>
      <c r="B18" s="2" t="s">
        <v>536</v>
      </c>
      <c r="C18"/>
      <c r="D18"/>
      <c r="E18"/>
      <c r="F18"/>
      <c r="G18"/>
      <c r="H18"/>
      <c r="I18"/>
      <c r="J18"/>
      <c r="K18"/>
    </row>
    <row r="19" spans="1:11" ht="20.25" customHeight="1" x14ac:dyDescent="0.15">
      <c r="A19"/>
      <c r="B19" s="2" t="s">
        <v>537</v>
      </c>
      <c r="C19"/>
      <c r="D19"/>
      <c r="E19"/>
      <c r="F19"/>
      <c r="G19"/>
      <c r="H19"/>
      <c r="I19"/>
      <c r="J19"/>
      <c r="K19"/>
    </row>
    <row r="20" spans="1:11" s="86" customFormat="1" ht="20.25" customHeight="1" x14ac:dyDescent="0.15">
      <c r="A20" s="85"/>
      <c r="B20" s="2" t="s">
        <v>538</v>
      </c>
    </row>
    <row r="21" spans="1:11" ht="20.25" customHeight="1" x14ac:dyDescent="0.15">
      <c r="A21" s="1"/>
      <c r="B21" s="2" t="s">
        <v>539</v>
      </c>
    </row>
    <row r="22" spans="1:11" ht="20.25" customHeight="1" x14ac:dyDescent="0.15">
      <c r="A22" s="1"/>
      <c r="B22" s="2" t="s">
        <v>540</v>
      </c>
    </row>
    <row r="23" spans="1:11" ht="20.25" customHeight="1" x14ac:dyDescent="0.15">
      <c r="A23" s="1"/>
      <c r="B23" s="2" t="s">
        <v>541</v>
      </c>
    </row>
    <row r="24" spans="1:11" ht="20.25" customHeight="1" x14ac:dyDescent="0.15">
      <c r="A24" s="1"/>
      <c r="B24" s="2" t="s">
        <v>493</v>
      </c>
    </row>
    <row r="25" spans="1:11" s="87" customFormat="1" ht="20.25" customHeight="1" x14ac:dyDescent="0.15">
      <c r="B25" s="2" t="s">
        <v>494</v>
      </c>
    </row>
    <row r="26" spans="1:11" s="87" customFormat="1" ht="20.25" customHeight="1" x14ac:dyDescent="0.15">
      <c r="B26" s="2" t="s">
        <v>495</v>
      </c>
    </row>
    <row r="27" spans="1:11" s="87" customFormat="1" ht="20.25" customHeight="1" x14ac:dyDescent="0.15">
      <c r="B27" s="2"/>
    </row>
    <row r="28" spans="1:11" s="87" customFormat="1" ht="20.25" customHeight="1" x14ac:dyDescent="0.15">
      <c r="B28" s="2" t="s">
        <v>496</v>
      </c>
    </row>
    <row r="29" spans="1:11" s="87" customFormat="1" ht="20.25" customHeight="1" x14ac:dyDescent="0.15">
      <c r="B29" s="2" t="s">
        <v>497</v>
      </c>
    </row>
    <row r="30" spans="1:11" s="87" customFormat="1" ht="20.25" customHeight="1" x14ac:dyDescent="0.15">
      <c r="B30" s="2" t="s">
        <v>498</v>
      </c>
    </row>
    <row r="31" spans="1:11" s="87" customFormat="1" ht="20.25" customHeight="1" x14ac:dyDescent="0.15">
      <c r="B31" s="2" t="s">
        <v>499</v>
      </c>
    </row>
    <row r="32" spans="1:11" s="87" customFormat="1" ht="20.25" customHeight="1" x14ac:dyDescent="0.15">
      <c r="B32" s="2" t="s">
        <v>500</v>
      </c>
    </row>
    <row r="33" spans="1:19" s="87" customFormat="1" ht="20.25" customHeight="1" x14ac:dyDescent="0.15">
      <c r="B33" s="2" t="s">
        <v>501</v>
      </c>
    </row>
    <row r="34" spans="1:19" s="87" customFormat="1" ht="20.25" customHeight="1" x14ac:dyDescent="0.15"/>
    <row r="35" spans="1:19" s="87" customFormat="1" ht="20.25" customHeight="1" x14ac:dyDescent="0.15">
      <c r="B35" s="2" t="s">
        <v>542</v>
      </c>
    </row>
    <row r="36" spans="1:19" s="87" customFormat="1" ht="20.25" customHeight="1" x14ac:dyDescent="0.15">
      <c r="B36" s="2" t="s">
        <v>543</v>
      </c>
    </row>
    <row r="37" spans="1:19" s="87" customFormat="1" ht="20.25" customHeight="1" x14ac:dyDescent="0.15">
      <c r="B37" s="2" t="s">
        <v>544</v>
      </c>
      <c r="C37" s="89"/>
      <c r="D37" s="89"/>
      <c r="E37" s="89"/>
      <c r="F37" s="89"/>
      <c r="G37" s="89"/>
    </row>
    <row r="38" spans="1:19" s="87" customFormat="1" ht="20.25" customHeight="1" x14ac:dyDescent="0.15">
      <c r="B38" s="2" t="s">
        <v>545</v>
      </c>
      <c r="C38" s="89"/>
      <c r="D38" s="89"/>
      <c r="E38" s="89"/>
    </row>
    <row r="39" spans="1:19" s="87" customFormat="1" ht="20.25" customHeight="1" x14ac:dyDescent="0.15">
      <c r="B39" s="400" t="s">
        <v>546</v>
      </c>
      <c r="C39" s="400"/>
      <c r="D39" s="400"/>
      <c r="E39" s="400"/>
      <c r="F39" s="400"/>
      <c r="G39" s="400"/>
      <c r="H39" s="400"/>
      <c r="I39" s="400"/>
      <c r="J39" s="400"/>
      <c r="K39" s="400"/>
      <c r="L39" s="400"/>
      <c r="M39" s="400"/>
      <c r="N39" s="400"/>
      <c r="O39" s="400"/>
      <c r="P39" s="400"/>
      <c r="Q39" s="400"/>
      <c r="S39" s="90"/>
    </row>
    <row r="40" spans="1:19" s="87" customFormat="1" ht="20.25" customHeight="1" x14ac:dyDescent="0.15">
      <c r="B40" s="2" t="s">
        <v>547</v>
      </c>
    </row>
    <row r="41" spans="1:19" s="87" customFormat="1" ht="20.25" customHeight="1" x14ac:dyDescent="0.15">
      <c r="B41" s="2" t="s">
        <v>548</v>
      </c>
    </row>
    <row r="42" spans="1:19" s="87" customFormat="1" ht="20.25" customHeight="1" x14ac:dyDescent="0.15">
      <c r="B42" s="2" t="s">
        <v>549</v>
      </c>
    </row>
    <row r="43" spans="1:19" ht="20.25" customHeight="1" x14ac:dyDescent="0.15">
      <c r="A43"/>
      <c r="B43" s="2" t="s">
        <v>550</v>
      </c>
      <c r="C43"/>
      <c r="D43"/>
      <c r="E43"/>
      <c r="F43"/>
      <c r="G43"/>
      <c r="H43"/>
      <c r="I43"/>
      <c r="J43"/>
      <c r="K43"/>
    </row>
    <row r="44" spans="1:19" ht="20.25" customHeight="1" x14ac:dyDescent="0.15">
      <c r="B44" s="2" t="s">
        <v>551</v>
      </c>
    </row>
    <row r="45" spans="1:19" s="86" customFormat="1" ht="20.25" customHeight="1" x14ac:dyDescent="0.15">
      <c r="A45" s="85"/>
      <c r="B45" s="1"/>
    </row>
    <row r="46" spans="1:19" ht="20.25" customHeight="1" x14ac:dyDescent="0.15">
      <c r="B46" s="91" t="s">
        <v>552</v>
      </c>
    </row>
    <row r="47" spans="1:19" ht="20.25" customHeight="1" x14ac:dyDescent="0.15">
      <c r="A47" s="92"/>
      <c r="C47" s="3"/>
      <c r="D47" s="3"/>
      <c r="E47" s="3"/>
      <c r="F47" s="3"/>
      <c r="G47" s="3"/>
      <c r="H47" s="3"/>
      <c r="I47" s="3"/>
      <c r="J47" s="3"/>
      <c r="K47" s="3"/>
    </row>
    <row r="48" spans="1:19" ht="20.25" customHeight="1" x14ac:dyDescent="0.15">
      <c r="B48" s="2" t="s">
        <v>525</v>
      </c>
    </row>
    <row r="49" spans="1:11" ht="20.25" customHeight="1" x14ac:dyDescent="0.15">
      <c r="A49" s="92"/>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88" customFormat="1" ht="19.5" customHeight="1" x14ac:dyDescent="0.15">
      <c r="A59" s="93"/>
      <c r="B59" s="2"/>
    </row>
    <row r="60" spans="1:11" ht="20.25" customHeight="1" x14ac:dyDescent="0.15">
      <c r="A60" s="1"/>
      <c r="B60" s="2"/>
      <c r="C60"/>
      <c r="D60"/>
      <c r="E60"/>
      <c r="F60"/>
      <c r="G60"/>
    </row>
    <row r="61" spans="1:11" ht="19.5" customHeight="1" x14ac:dyDescent="0.15">
      <c r="A61" s="1"/>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9" t="s">
        <v>72</v>
      </c>
      <c r="AA3" s="440"/>
      <c r="AB3" s="440"/>
      <c r="AC3" s="440"/>
      <c r="AD3" s="441"/>
      <c r="AE3" s="536"/>
      <c r="AF3" s="537"/>
      <c r="AG3" s="537"/>
      <c r="AH3" s="537"/>
      <c r="AI3" s="537"/>
      <c r="AJ3" s="537"/>
      <c r="AK3" s="537"/>
      <c r="AL3" s="538"/>
      <c r="AM3" s="20"/>
      <c r="AN3" s="1"/>
    </row>
    <row r="4" spans="2:40" s="2" customFormat="1" x14ac:dyDescent="0.15">
      <c r="AN4" s="21"/>
    </row>
    <row r="5" spans="2:40" s="2" customFormat="1" x14ac:dyDescent="0.15">
      <c r="B5" s="539" t="s">
        <v>43</v>
      </c>
      <c r="C5" s="539"/>
      <c r="D5" s="539"/>
      <c r="E5" s="539"/>
      <c r="F5" s="539"/>
      <c r="G5" s="539"/>
      <c r="H5" s="539"/>
      <c r="I5" s="539"/>
      <c r="J5" s="539"/>
      <c r="K5" s="539"/>
      <c r="L5" s="539"/>
      <c r="M5" s="539"/>
      <c r="N5" s="539"/>
      <c r="O5" s="539"/>
      <c r="P5" s="539"/>
      <c r="Q5" s="539"/>
      <c r="R5" s="539"/>
      <c r="S5" s="539"/>
      <c r="T5" s="539"/>
      <c r="U5" s="539"/>
      <c r="V5" s="539"/>
      <c r="W5" s="539"/>
      <c r="X5" s="539"/>
      <c r="Y5" s="539"/>
      <c r="Z5" s="539"/>
      <c r="AA5" s="539"/>
      <c r="AB5" s="539"/>
      <c r="AC5" s="539"/>
      <c r="AD5" s="539"/>
      <c r="AE5" s="539"/>
      <c r="AF5" s="539"/>
      <c r="AG5" s="539"/>
      <c r="AH5" s="539"/>
      <c r="AI5" s="539"/>
      <c r="AJ5" s="539"/>
      <c r="AK5" s="539"/>
      <c r="AL5" s="539"/>
    </row>
    <row r="6" spans="2:40" s="2" customFormat="1" ht="13.5" customHeight="1" x14ac:dyDescent="0.15">
      <c r="AC6" s="1"/>
      <c r="AD6" s="45"/>
      <c r="AE6" s="45" t="s">
        <v>30</v>
      </c>
      <c r="AH6" s="2" t="s">
        <v>36</v>
      </c>
      <c r="AJ6" s="2" t="s">
        <v>32</v>
      </c>
      <c r="AL6" s="2" t="s">
        <v>31</v>
      </c>
    </row>
    <row r="7" spans="2:40" s="2" customFormat="1" x14ac:dyDescent="0.15">
      <c r="B7" s="539" t="s">
        <v>73</v>
      </c>
      <c r="C7" s="539"/>
      <c r="D7" s="539"/>
      <c r="E7" s="539"/>
      <c r="F7" s="539"/>
      <c r="G7" s="539"/>
      <c r="H7" s="539"/>
      <c r="I7" s="539"/>
      <c r="J7" s="539"/>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446" t="s">
        <v>74</v>
      </c>
      <c r="C11" s="514" t="s">
        <v>8</v>
      </c>
      <c r="D11" s="515"/>
      <c r="E11" s="515"/>
      <c r="F11" s="515"/>
      <c r="G11" s="515"/>
      <c r="H11" s="515"/>
      <c r="I11" s="515"/>
      <c r="J11" s="515"/>
      <c r="K11" s="5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7"/>
      <c r="C12" s="517" t="s">
        <v>75</v>
      </c>
      <c r="D12" s="400"/>
      <c r="E12" s="400"/>
      <c r="F12" s="400"/>
      <c r="G12" s="400"/>
      <c r="H12" s="400"/>
      <c r="I12" s="400"/>
      <c r="J12" s="400"/>
      <c r="K12" s="4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7"/>
      <c r="C13" s="514" t="s">
        <v>9</v>
      </c>
      <c r="D13" s="515"/>
      <c r="E13" s="515"/>
      <c r="F13" s="515"/>
      <c r="G13" s="515"/>
      <c r="H13" s="515"/>
      <c r="I13" s="515"/>
      <c r="J13" s="515"/>
      <c r="K13" s="516"/>
      <c r="L13" s="504" t="s">
        <v>76</v>
      </c>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6"/>
    </row>
    <row r="14" spans="2:40" s="2" customFormat="1" x14ac:dyDescent="0.15">
      <c r="B14" s="447"/>
      <c r="C14" s="517"/>
      <c r="D14" s="400"/>
      <c r="E14" s="400"/>
      <c r="F14" s="400"/>
      <c r="G14" s="400"/>
      <c r="H14" s="400"/>
      <c r="I14" s="400"/>
      <c r="J14" s="400"/>
      <c r="K14" s="518"/>
      <c r="L14" s="507" t="s">
        <v>77</v>
      </c>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9"/>
    </row>
    <row r="15" spans="2:40" s="2" customFormat="1" x14ac:dyDescent="0.15">
      <c r="B15" s="447"/>
      <c r="C15" s="519"/>
      <c r="D15" s="520"/>
      <c r="E15" s="520"/>
      <c r="F15" s="520"/>
      <c r="G15" s="520"/>
      <c r="H15" s="520"/>
      <c r="I15" s="520"/>
      <c r="J15" s="520"/>
      <c r="K15" s="521"/>
      <c r="L15" s="532" t="s">
        <v>78</v>
      </c>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3"/>
    </row>
    <row r="16" spans="2:40" s="2" customFormat="1" ht="14.25" customHeight="1" x14ac:dyDescent="0.15">
      <c r="B16" s="447"/>
      <c r="C16" s="533" t="s">
        <v>79</v>
      </c>
      <c r="D16" s="534"/>
      <c r="E16" s="534"/>
      <c r="F16" s="534"/>
      <c r="G16" s="534"/>
      <c r="H16" s="534"/>
      <c r="I16" s="534"/>
      <c r="J16" s="534"/>
      <c r="K16" s="535"/>
      <c r="L16" s="439" t="s">
        <v>10</v>
      </c>
      <c r="M16" s="440"/>
      <c r="N16" s="440"/>
      <c r="O16" s="440"/>
      <c r="P16" s="441"/>
      <c r="Q16" s="24"/>
      <c r="R16" s="25"/>
      <c r="S16" s="25"/>
      <c r="T16" s="25"/>
      <c r="U16" s="25"/>
      <c r="V16" s="25"/>
      <c r="W16" s="25"/>
      <c r="X16" s="25"/>
      <c r="Y16" s="26"/>
      <c r="Z16" s="523" t="s">
        <v>11</v>
      </c>
      <c r="AA16" s="524"/>
      <c r="AB16" s="524"/>
      <c r="AC16" s="524"/>
      <c r="AD16" s="525"/>
      <c r="AE16" s="28"/>
      <c r="AF16" s="32"/>
      <c r="AG16" s="22"/>
      <c r="AH16" s="22"/>
      <c r="AI16" s="22"/>
      <c r="AJ16" s="505"/>
      <c r="AK16" s="505"/>
      <c r="AL16" s="506"/>
    </row>
    <row r="17" spans="2:40" ht="14.25" customHeight="1" x14ac:dyDescent="0.15">
      <c r="B17" s="447"/>
      <c r="C17" s="528" t="s">
        <v>55</v>
      </c>
      <c r="D17" s="529"/>
      <c r="E17" s="529"/>
      <c r="F17" s="529"/>
      <c r="G17" s="529"/>
      <c r="H17" s="529"/>
      <c r="I17" s="529"/>
      <c r="J17" s="529"/>
      <c r="K17" s="530"/>
      <c r="L17" s="27"/>
      <c r="M17" s="27"/>
      <c r="N17" s="27"/>
      <c r="O17" s="27"/>
      <c r="P17" s="27"/>
      <c r="Q17" s="27"/>
      <c r="R17" s="27"/>
      <c r="S17" s="27"/>
      <c r="U17" s="439" t="s">
        <v>12</v>
      </c>
      <c r="V17" s="440"/>
      <c r="W17" s="440"/>
      <c r="X17" s="440"/>
      <c r="Y17" s="441"/>
      <c r="Z17" s="18"/>
      <c r="AA17" s="19"/>
      <c r="AB17" s="19"/>
      <c r="AC17" s="19"/>
      <c r="AD17" s="19"/>
      <c r="AE17" s="531"/>
      <c r="AF17" s="531"/>
      <c r="AG17" s="531"/>
      <c r="AH17" s="531"/>
      <c r="AI17" s="531"/>
      <c r="AJ17" s="531"/>
      <c r="AK17" s="531"/>
      <c r="AL17" s="17"/>
      <c r="AN17" s="3"/>
    </row>
    <row r="18" spans="2:40" ht="14.25" customHeight="1" x14ac:dyDescent="0.15">
      <c r="B18" s="447"/>
      <c r="C18" s="442" t="s">
        <v>13</v>
      </c>
      <c r="D18" s="442"/>
      <c r="E18" s="442"/>
      <c r="F18" s="442"/>
      <c r="G18" s="442"/>
      <c r="H18" s="543"/>
      <c r="I18" s="543"/>
      <c r="J18" s="543"/>
      <c r="K18" s="544"/>
      <c r="L18" s="439" t="s">
        <v>14</v>
      </c>
      <c r="M18" s="440"/>
      <c r="N18" s="440"/>
      <c r="O18" s="440"/>
      <c r="P18" s="441"/>
      <c r="Q18" s="29"/>
      <c r="R18" s="30"/>
      <c r="S18" s="30"/>
      <c r="T18" s="30"/>
      <c r="U18" s="30"/>
      <c r="V18" s="30"/>
      <c r="W18" s="30"/>
      <c r="X18" s="30"/>
      <c r="Y18" s="31"/>
      <c r="Z18" s="450" t="s">
        <v>15</v>
      </c>
      <c r="AA18" s="450"/>
      <c r="AB18" s="450"/>
      <c r="AC18" s="450"/>
      <c r="AD18" s="451"/>
      <c r="AE18" s="15"/>
      <c r="AF18" s="16"/>
      <c r="AG18" s="16"/>
      <c r="AH18" s="16"/>
      <c r="AI18" s="16"/>
      <c r="AJ18" s="16"/>
      <c r="AK18" s="16"/>
      <c r="AL18" s="17"/>
      <c r="AN18" s="3"/>
    </row>
    <row r="19" spans="2:40" ht="13.5" customHeight="1" x14ac:dyDescent="0.15">
      <c r="B19" s="447"/>
      <c r="C19" s="502" t="s">
        <v>16</v>
      </c>
      <c r="D19" s="502"/>
      <c r="E19" s="502"/>
      <c r="F19" s="502"/>
      <c r="G19" s="502"/>
      <c r="H19" s="540"/>
      <c r="I19" s="540"/>
      <c r="J19" s="540"/>
      <c r="K19" s="540"/>
      <c r="L19" s="504" t="s">
        <v>76</v>
      </c>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N19" s="3"/>
    </row>
    <row r="20" spans="2:40" ht="14.25" customHeight="1" x14ac:dyDescent="0.15">
      <c r="B20" s="447"/>
      <c r="C20" s="502"/>
      <c r="D20" s="502"/>
      <c r="E20" s="502"/>
      <c r="F20" s="502"/>
      <c r="G20" s="502"/>
      <c r="H20" s="540"/>
      <c r="I20" s="540"/>
      <c r="J20" s="540"/>
      <c r="K20" s="540"/>
      <c r="L20" s="507" t="s">
        <v>77</v>
      </c>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N20" s="3"/>
    </row>
    <row r="21" spans="2:40" x14ac:dyDescent="0.15">
      <c r="B21" s="448"/>
      <c r="C21" s="541"/>
      <c r="D21" s="541"/>
      <c r="E21" s="541"/>
      <c r="F21" s="541"/>
      <c r="G21" s="541"/>
      <c r="H21" s="542"/>
      <c r="I21" s="542"/>
      <c r="J21" s="542"/>
      <c r="K21" s="542"/>
      <c r="L21" s="510"/>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22"/>
      <c r="AN21" s="3"/>
    </row>
    <row r="22" spans="2:40" ht="13.5" customHeight="1" x14ac:dyDescent="0.15">
      <c r="B22" s="466" t="s">
        <v>80</v>
      </c>
      <c r="C22" s="514" t="s">
        <v>117</v>
      </c>
      <c r="D22" s="515"/>
      <c r="E22" s="515"/>
      <c r="F22" s="515"/>
      <c r="G22" s="515"/>
      <c r="H22" s="515"/>
      <c r="I22" s="515"/>
      <c r="J22" s="515"/>
      <c r="K22" s="516"/>
      <c r="L22" s="504" t="s">
        <v>76</v>
      </c>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N22" s="3"/>
    </row>
    <row r="23" spans="2:40" ht="14.25" customHeight="1" x14ac:dyDescent="0.15">
      <c r="B23" s="467"/>
      <c r="C23" s="517"/>
      <c r="D23" s="400"/>
      <c r="E23" s="400"/>
      <c r="F23" s="400"/>
      <c r="G23" s="400"/>
      <c r="H23" s="400"/>
      <c r="I23" s="400"/>
      <c r="J23" s="400"/>
      <c r="K23" s="518"/>
      <c r="L23" s="507" t="s">
        <v>77</v>
      </c>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9"/>
      <c r="AN23" s="3"/>
    </row>
    <row r="24" spans="2:40" x14ac:dyDescent="0.15">
      <c r="B24" s="467"/>
      <c r="C24" s="519"/>
      <c r="D24" s="520"/>
      <c r="E24" s="520"/>
      <c r="F24" s="520"/>
      <c r="G24" s="520"/>
      <c r="H24" s="520"/>
      <c r="I24" s="520"/>
      <c r="J24" s="520"/>
      <c r="K24" s="521"/>
      <c r="L24" s="510"/>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22"/>
      <c r="AN24" s="3"/>
    </row>
    <row r="25" spans="2:40" ht="14.25" customHeight="1" x14ac:dyDescent="0.15">
      <c r="B25" s="467"/>
      <c r="C25" s="502" t="s">
        <v>79</v>
      </c>
      <c r="D25" s="502"/>
      <c r="E25" s="502"/>
      <c r="F25" s="502"/>
      <c r="G25" s="502"/>
      <c r="H25" s="502"/>
      <c r="I25" s="502"/>
      <c r="J25" s="502"/>
      <c r="K25" s="502"/>
      <c r="L25" s="439" t="s">
        <v>10</v>
      </c>
      <c r="M25" s="440"/>
      <c r="N25" s="440"/>
      <c r="O25" s="440"/>
      <c r="P25" s="441"/>
      <c r="Q25" s="24"/>
      <c r="R25" s="25"/>
      <c r="S25" s="25"/>
      <c r="T25" s="25"/>
      <c r="U25" s="25"/>
      <c r="V25" s="25"/>
      <c r="W25" s="25"/>
      <c r="X25" s="25"/>
      <c r="Y25" s="26"/>
      <c r="Z25" s="523" t="s">
        <v>11</v>
      </c>
      <c r="AA25" s="524"/>
      <c r="AB25" s="524"/>
      <c r="AC25" s="524"/>
      <c r="AD25" s="525"/>
      <c r="AE25" s="28"/>
      <c r="AF25" s="32"/>
      <c r="AG25" s="22"/>
      <c r="AH25" s="22"/>
      <c r="AI25" s="22"/>
      <c r="AJ25" s="505"/>
      <c r="AK25" s="505"/>
      <c r="AL25" s="506"/>
      <c r="AN25" s="3"/>
    </row>
    <row r="26" spans="2:40" ht="13.5" customHeight="1" x14ac:dyDescent="0.15">
      <c r="B26" s="467"/>
      <c r="C26" s="526" t="s">
        <v>17</v>
      </c>
      <c r="D26" s="526"/>
      <c r="E26" s="526"/>
      <c r="F26" s="526"/>
      <c r="G26" s="526"/>
      <c r="H26" s="526"/>
      <c r="I26" s="526"/>
      <c r="J26" s="526"/>
      <c r="K26" s="526"/>
      <c r="L26" s="504" t="s">
        <v>76</v>
      </c>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6"/>
      <c r="AN26" s="3"/>
    </row>
    <row r="27" spans="2:40" ht="14.25" customHeight="1" x14ac:dyDescent="0.15">
      <c r="B27" s="467"/>
      <c r="C27" s="526"/>
      <c r="D27" s="526"/>
      <c r="E27" s="526"/>
      <c r="F27" s="526"/>
      <c r="G27" s="526"/>
      <c r="H27" s="526"/>
      <c r="I27" s="526"/>
      <c r="J27" s="526"/>
      <c r="K27" s="526"/>
      <c r="L27" s="507" t="s">
        <v>77</v>
      </c>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9"/>
      <c r="AN27" s="3"/>
    </row>
    <row r="28" spans="2:40" x14ac:dyDescent="0.15">
      <c r="B28" s="467"/>
      <c r="C28" s="526"/>
      <c r="D28" s="526"/>
      <c r="E28" s="526"/>
      <c r="F28" s="526"/>
      <c r="G28" s="526"/>
      <c r="H28" s="526"/>
      <c r="I28" s="526"/>
      <c r="J28" s="526"/>
      <c r="K28" s="526"/>
      <c r="L28" s="510"/>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22"/>
      <c r="AN28" s="3"/>
    </row>
    <row r="29" spans="2:40" ht="14.25" customHeight="1" x14ac:dyDescent="0.15">
      <c r="B29" s="467"/>
      <c r="C29" s="502" t="s">
        <v>79</v>
      </c>
      <c r="D29" s="502"/>
      <c r="E29" s="502"/>
      <c r="F29" s="502"/>
      <c r="G29" s="502"/>
      <c r="H29" s="502"/>
      <c r="I29" s="502"/>
      <c r="J29" s="502"/>
      <c r="K29" s="502"/>
      <c r="L29" s="439" t="s">
        <v>10</v>
      </c>
      <c r="M29" s="440"/>
      <c r="N29" s="440"/>
      <c r="O29" s="440"/>
      <c r="P29" s="441"/>
      <c r="Q29" s="28"/>
      <c r="R29" s="32"/>
      <c r="S29" s="32"/>
      <c r="T29" s="32"/>
      <c r="U29" s="32"/>
      <c r="V29" s="32"/>
      <c r="W29" s="32"/>
      <c r="X29" s="32"/>
      <c r="Y29" s="33"/>
      <c r="Z29" s="523" t="s">
        <v>11</v>
      </c>
      <c r="AA29" s="524"/>
      <c r="AB29" s="524"/>
      <c r="AC29" s="524"/>
      <c r="AD29" s="525"/>
      <c r="AE29" s="28"/>
      <c r="AF29" s="32"/>
      <c r="AG29" s="22"/>
      <c r="AH29" s="22"/>
      <c r="AI29" s="22"/>
      <c r="AJ29" s="505"/>
      <c r="AK29" s="505"/>
      <c r="AL29" s="506"/>
      <c r="AN29" s="3"/>
    </row>
    <row r="30" spans="2:40" ht="14.25" customHeight="1" x14ac:dyDescent="0.15">
      <c r="B30" s="467"/>
      <c r="C30" s="502" t="s">
        <v>18</v>
      </c>
      <c r="D30" s="502"/>
      <c r="E30" s="502"/>
      <c r="F30" s="502"/>
      <c r="G30" s="502"/>
      <c r="H30" s="502"/>
      <c r="I30" s="502"/>
      <c r="J30" s="502"/>
      <c r="K30" s="502"/>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15">
      <c r="B31" s="467"/>
      <c r="C31" s="502" t="s">
        <v>19</v>
      </c>
      <c r="D31" s="502"/>
      <c r="E31" s="502"/>
      <c r="F31" s="502"/>
      <c r="G31" s="502"/>
      <c r="H31" s="502"/>
      <c r="I31" s="502"/>
      <c r="J31" s="502"/>
      <c r="K31" s="502"/>
      <c r="L31" s="504" t="s">
        <v>76</v>
      </c>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N31" s="3"/>
    </row>
    <row r="32" spans="2:40" ht="14.25" customHeight="1" x14ac:dyDescent="0.15">
      <c r="B32" s="467"/>
      <c r="C32" s="502"/>
      <c r="D32" s="502"/>
      <c r="E32" s="502"/>
      <c r="F32" s="502"/>
      <c r="G32" s="502"/>
      <c r="H32" s="502"/>
      <c r="I32" s="502"/>
      <c r="J32" s="502"/>
      <c r="K32" s="502"/>
      <c r="L32" s="507" t="s">
        <v>77</v>
      </c>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N32" s="3"/>
    </row>
    <row r="33" spans="2:40" x14ac:dyDescent="0.15">
      <c r="B33" s="468"/>
      <c r="C33" s="502"/>
      <c r="D33" s="502"/>
      <c r="E33" s="502"/>
      <c r="F33" s="502"/>
      <c r="G33" s="502"/>
      <c r="H33" s="502"/>
      <c r="I33" s="502"/>
      <c r="J33" s="502"/>
      <c r="K33" s="502"/>
      <c r="L33" s="510"/>
      <c r="M33" s="511"/>
      <c r="N33" s="512"/>
      <c r="O33" s="512"/>
      <c r="P33" s="512"/>
      <c r="Q33" s="512"/>
      <c r="R33" s="512"/>
      <c r="S33" s="512"/>
      <c r="T33" s="512"/>
      <c r="U33" s="512"/>
      <c r="V33" s="512"/>
      <c r="W33" s="512"/>
      <c r="X33" s="512"/>
      <c r="Y33" s="512"/>
      <c r="Z33" s="512"/>
      <c r="AA33" s="512"/>
      <c r="AB33" s="512"/>
      <c r="AC33" s="511"/>
      <c r="AD33" s="511"/>
      <c r="AE33" s="511"/>
      <c r="AF33" s="511"/>
      <c r="AG33" s="511"/>
      <c r="AH33" s="512"/>
      <c r="AI33" s="512"/>
      <c r="AJ33" s="512"/>
      <c r="AK33" s="512"/>
      <c r="AL33" s="513"/>
      <c r="AN33" s="3"/>
    </row>
    <row r="34" spans="2:40" ht="13.5" customHeight="1" x14ac:dyDescent="0.15">
      <c r="B34" s="466" t="s">
        <v>45</v>
      </c>
      <c r="C34" s="469" t="s">
        <v>81</v>
      </c>
      <c r="D34" s="470"/>
      <c r="E34" s="470"/>
      <c r="F34" s="470"/>
      <c r="G34" s="470"/>
      <c r="H34" s="470"/>
      <c r="I34" s="470"/>
      <c r="J34" s="470"/>
      <c r="K34" s="470"/>
      <c r="L34" s="470"/>
      <c r="M34" s="491" t="s">
        <v>20</v>
      </c>
      <c r="N34" s="456"/>
      <c r="O34" s="53" t="s">
        <v>47</v>
      </c>
      <c r="P34" s="49"/>
      <c r="Q34" s="50"/>
      <c r="R34" s="493" t="s">
        <v>21</v>
      </c>
      <c r="S34" s="494"/>
      <c r="T34" s="494"/>
      <c r="U34" s="494"/>
      <c r="V34" s="494"/>
      <c r="W34" s="494"/>
      <c r="X34" s="495"/>
      <c r="Y34" s="499" t="s">
        <v>57</v>
      </c>
      <c r="Z34" s="500"/>
      <c r="AA34" s="500"/>
      <c r="AB34" s="501"/>
      <c r="AC34" s="476" t="s">
        <v>58</v>
      </c>
      <c r="AD34" s="477"/>
      <c r="AE34" s="477"/>
      <c r="AF34" s="477"/>
      <c r="AG34" s="478"/>
      <c r="AH34" s="479" t="s">
        <v>52</v>
      </c>
      <c r="AI34" s="480"/>
      <c r="AJ34" s="480"/>
      <c r="AK34" s="480"/>
      <c r="AL34" s="481"/>
      <c r="AN34" s="3"/>
    </row>
    <row r="35" spans="2:40" ht="14.25" customHeight="1" x14ac:dyDescent="0.15">
      <c r="B35" s="467"/>
      <c r="C35" s="471"/>
      <c r="D35" s="472"/>
      <c r="E35" s="472"/>
      <c r="F35" s="472"/>
      <c r="G35" s="472"/>
      <c r="H35" s="472"/>
      <c r="I35" s="472"/>
      <c r="J35" s="472"/>
      <c r="K35" s="472"/>
      <c r="L35" s="472"/>
      <c r="M35" s="492"/>
      <c r="N35" s="459"/>
      <c r="O35" s="54" t="s">
        <v>48</v>
      </c>
      <c r="P35" s="51"/>
      <c r="Q35" s="52"/>
      <c r="R35" s="496"/>
      <c r="S35" s="497"/>
      <c r="T35" s="497"/>
      <c r="U35" s="497"/>
      <c r="V35" s="497"/>
      <c r="W35" s="497"/>
      <c r="X35" s="498"/>
      <c r="Y35" s="55" t="s">
        <v>33</v>
      </c>
      <c r="Z35" s="14"/>
      <c r="AA35" s="14"/>
      <c r="AB35" s="14"/>
      <c r="AC35" s="482" t="s">
        <v>34</v>
      </c>
      <c r="AD35" s="483"/>
      <c r="AE35" s="483"/>
      <c r="AF35" s="483"/>
      <c r="AG35" s="484"/>
      <c r="AH35" s="485" t="s">
        <v>53</v>
      </c>
      <c r="AI35" s="486"/>
      <c r="AJ35" s="486"/>
      <c r="AK35" s="486"/>
      <c r="AL35" s="487"/>
      <c r="AN35" s="3"/>
    </row>
    <row r="36" spans="2:40" ht="14.25" customHeight="1" x14ac:dyDescent="0.15">
      <c r="B36" s="467"/>
      <c r="C36" s="447"/>
      <c r="D36" s="68"/>
      <c r="E36" s="461" t="s">
        <v>2</v>
      </c>
      <c r="F36" s="461"/>
      <c r="G36" s="461"/>
      <c r="H36" s="461"/>
      <c r="I36" s="461"/>
      <c r="J36" s="461"/>
      <c r="K36" s="461"/>
      <c r="L36" s="47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467"/>
      <c r="C37" s="447"/>
      <c r="D37" s="68"/>
      <c r="E37" s="461" t="s">
        <v>3</v>
      </c>
      <c r="F37" s="462"/>
      <c r="G37" s="462"/>
      <c r="H37" s="462"/>
      <c r="I37" s="462"/>
      <c r="J37" s="462"/>
      <c r="K37" s="462"/>
      <c r="L37" s="463"/>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467"/>
      <c r="C38" s="447"/>
      <c r="D38" s="68"/>
      <c r="E38" s="461" t="s">
        <v>5</v>
      </c>
      <c r="F38" s="462"/>
      <c r="G38" s="462"/>
      <c r="H38" s="462"/>
      <c r="I38" s="462"/>
      <c r="J38" s="462"/>
      <c r="K38" s="462"/>
      <c r="L38" s="463"/>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467"/>
      <c r="C39" s="447"/>
      <c r="D39" s="68"/>
      <c r="E39" s="461" t="s">
        <v>7</v>
      </c>
      <c r="F39" s="462"/>
      <c r="G39" s="462"/>
      <c r="H39" s="462"/>
      <c r="I39" s="462"/>
      <c r="J39" s="462"/>
      <c r="K39" s="462"/>
      <c r="L39" s="463"/>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467"/>
      <c r="C40" s="447"/>
      <c r="D40" s="68"/>
      <c r="E40" s="461" t="s">
        <v>6</v>
      </c>
      <c r="F40" s="462"/>
      <c r="G40" s="462"/>
      <c r="H40" s="462"/>
      <c r="I40" s="462"/>
      <c r="J40" s="462"/>
      <c r="K40" s="462"/>
      <c r="L40" s="463"/>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467"/>
      <c r="C41" s="447"/>
      <c r="D41" s="69"/>
      <c r="E41" s="488" t="s">
        <v>46</v>
      </c>
      <c r="F41" s="489"/>
      <c r="G41" s="489"/>
      <c r="H41" s="489"/>
      <c r="I41" s="489"/>
      <c r="J41" s="489"/>
      <c r="K41" s="489"/>
      <c r="L41" s="490"/>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15">
      <c r="B42" s="467"/>
      <c r="C42" s="447"/>
      <c r="D42" s="71"/>
      <c r="E42" s="473" t="s">
        <v>66</v>
      </c>
      <c r="F42" s="473"/>
      <c r="G42" s="473"/>
      <c r="H42" s="473"/>
      <c r="I42" s="473"/>
      <c r="J42" s="473"/>
      <c r="K42" s="473"/>
      <c r="L42" s="474"/>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15">
      <c r="B43" s="467"/>
      <c r="C43" s="447"/>
      <c r="D43" s="68"/>
      <c r="E43" s="461" t="s">
        <v>67</v>
      </c>
      <c r="F43" s="462"/>
      <c r="G43" s="462"/>
      <c r="H43" s="462"/>
      <c r="I43" s="462"/>
      <c r="J43" s="462"/>
      <c r="K43" s="462"/>
      <c r="L43" s="463"/>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467"/>
      <c r="C44" s="447"/>
      <c r="D44" s="68"/>
      <c r="E44" s="461" t="s">
        <v>68</v>
      </c>
      <c r="F44" s="462"/>
      <c r="G44" s="462"/>
      <c r="H44" s="462"/>
      <c r="I44" s="462"/>
      <c r="J44" s="462"/>
      <c r="K44" s="462"/>
      <c r="L44" s="463"/>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467"/>
      <c r="C45" s="447"/>
      <c r="D45" s="68"/>
      <c r="E45" s="461" t="s">
        <v>69</v>
      </c>
      <c r="F45" s="462"/>
      <c r="G45" s="462"/>
      <c r="H45" s="462"/>
      <c r="I45" s="462"/>
      <c r="J45" s="462"/>
      <c r="K45" s="462"/>
      <c r="L45" s="463"/>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467"/>
      <c r="C46" s="447"/>
      <c r="D46" s="68"/>
      <c r="E46" s="461" t="s">
        <v>70</v>
      </c>
      <c r="F46" s="462"/>
      <c r="G46" s="462"/>
      <c r="H46" s="462"/>
      <c r="I46" s="462"/>
      <c r="J46" s="462"/>
      <c r="K46" s="462"/>
      <c r="L46" s="463"/>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468"/>
      <c r="C47" s="447"/>
      <c r="D47" s="68"/>
      <c r="E47" s="461" t="s">
        <v>71</v>
      </c>
      <c r="F47" s="462"/>
      <c r="G47" s="462"/>
      <c r="H47" s="462"/>
      <c r="I47" s="462"/>
      <c r="J47" s="462"/>
      <c r="K47" s="462"/>
      <c r="L47" s="463"/>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464" t="s">
        <v>49</v>
      </c>
      <c r="C48" s="464"/>
      <c r="D48" s="464"/>
      <c r="E48" s="464"/>
      <c r="F48" s="464"/>
      <c r="G48" s="464"/>
      <c r="H48" s="464"/>
      <c r="I48" s="464"/>
      <c r="J48" s="464"/>
      <c r="K48" s="4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4" t="s">
        <v>50</v>
      </c>
      <c r="C49" s="464"/>
      <c r="D49" s="464"/>
      <c r="E49" s="464"/>
      <c r="F49" s="464"/>
      <c r="G49" s="464"/>
      <c r="H49" s="464"/>
      <c r="I49" s="464"/>
      <c r="J49" s="464"/>
      <c r="K49" s="4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2" t="s">
        <v>22</v>
      </c>
      <c r="C50" s="442"/>
      <c r="D50" s="442"/>
      <c r="E50" s="442"/>
      <c r="F50" s="442"/>
      <c r="G50" s="442"/>
      <c r="H50" s="442"/>
      <c r="I50" s="442"/>
      <c r="J50" s="442"/>
      <c r="K50" s="442"/>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3" t="s">
        <v>51</v>
      </c>
      <c r="C51" s="443"/>
      <c r="D51" s="443"/>
      <c r="E51" s="443"/>
      <c r="F51" s="443"/>
      <c r="G51" s="443"/>
      <c r="H51" s="443"/>
      <c r="I51" s="443"/>
      <c r="J51" s="443"/>
      <c r="K51" s="4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4" t="s">
        <v>42</v>
      </c>
      <c r="C52" s="445"/>
      <c r="D52" s="445"/>
      <c r="E52" s="445"/>
      <c r="F52" s="445"/>
      <c r="G52" s="445"/>
      <c r="H52" s="445"/>
      <c r="I52" s="445"/>
      <c r="J52" s="445"/>
      <c r="K52" s="445"/>
      <c r="L52" s="445"/>
      <c r="M52" s="445"/>
      <c r="N52" s="4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6" t="s">
        <v>23</v>
      </c>
      <c r="C53" s="449" t="s">
        <v>82</v>
      </c>
      <c r="D53" s="450"/>
      <c r="E53" s="450"/>
      <c r="F53" s="450"/>
      <c r="G53" s="450"/>
      <c r="H53" s="450"/>
      <c r="I53" s="450"/>
      <c r="J53" s="450"/>
      <c r="K53" s="450"/>
      <c r="L53" s="450"/>
      <c r="M53" s="450"/>
      <c r="N53" s="450"/>
      <c r="O53" s="450"/>
      <c r="P53" s="450"/>
      <c r="Q53" s="450"/>
      <c r="R53" s="450"/>
      <c r="S53" s="450"/>
      <c r="T53" s="451"/>
      <c r="U53" s="449" t="s">
        <v>35</v>
      </c>
      <c r="V53" s="452"/>
      <c r="W53" s="452"/>
      <c r="X53" s="452"/>
      <c r="Y53" s="452"/>
      <c r="Z53" s="452"/>
      <c r="AA53" s="452"/>
      <c r="AB53" s="452"/>
      <c r="AC53" s="452"/>
      <c r="AD53" s="452"/>
      <c r="AE53" s="452"/>
      <c r="AF53" s="452"/>
      <c r="AG53" s="452"/>
      <c r="AH53" s="452"/>
      <c r="AI53" s="452"/>
      <c r="AJ53" s="452"/>
      <c r="AK53" s="452"/>
      <c r="AL53" s="453"/>
      <c r="AN53" s="3"/>
    </row>
    <row r="54" spans="2:40" x14ac:dyDescent="0.15">
      <c r="B54" s="447"/>
      <c r="C54" s="454"/>
      <c r="D54" s="455"/>
      <c r="E54" s="455"/>
      <c r="F54" s="455"/>
      <c r="G54" s="455"/>
      <c r="H54" s="455"/>
      <c r="I54" s="455"/>
      <c r="J54" s="455"/>
      <c r="K54" s="455"/>
      <c r="L54" s="455"/>
      <c r="M54" s="455"/>
      <c r="N54" s="455"/>
      <c r="O54" s="455"/>
      <c r="P54" s="455"/>
      <c r="Q54" s="455"/>
      <c r="R54" s="455"/>
      <c r="S54" s="455"/>
      <c r="T54" s="456"/>
      <c r="U54" s="454"/>
      <c r="V54" s="455"/>
      <c r="W54" s="455"/>
      <c r="X54" s="455"/>
      <c r="Y54" s="455"/>
      <c r="Z54" s="455"/>
      <c r="AA54" s="455"/>
      <c r="AB54" s="455"/>
      <c r="AC54" s="455"/>
      <c r="AD54" s="455"/>
      <c r="AE54" s="455"/>
      <c r="AF54" s="455"/>
      <c r="AG54" s="455"/>
      <c r="AH54" s="455"/>
      <c r="AI54" s="455"/>
      <c r="AJ54" s="455"/>
      <c r="AK54" s="455"/>
      <c r="AL54" s="456"/>
      <c r="AN54" s="3"/>
    </row>
    <row r="55" spans="2:40" x14ac:dyDescent="0.15">
      <c r="B55" s="447"/>
      <c r="C55" s="457"/>
      <c r="D55" s="458"/>
      <c r="E55" s="458"/>
      <c r="F55" s="458"/>
      <c r="G55" s="458"/>
      <c r="H55" s="458"/>
      <c r="I55" s="458"/>
      <c r="J55" s="458"/>
      <c r="K55" s="458"/>
      <c r="L55" s="458"/>
      <c r="M55" s="458"/>
      <c r="N55" s="458"/>
      <c r="O55" s="458"/>
      <c r="P55" s="458"/>
      <c r="Q55" s="458"/>
      <c r="R55" s="458"/>
      <c r="S55" s="458"/>
      <c r="T55" s="459"/>
      <c r="U55" s="457"/>
      <c r="V55" s="458"/>
      <c r="W55" s="458"/>
      <c r="X55" s="458"/>
      <c r="Y55" s="458"/>
      <c r="Z55" s="458"/>
      <c r="AA55" s="458"/>
      <c r="AB55" s="458"/>
      <c r="AC55" s="458"/>
      <c r="AD55" s="458"/>
      <c r="AE55" s="458"/>
      <c r="AF55" s="458"/>
      <c r="AG55" s="458"/>
      <c r="AH55" s="458"/>
      <c r="AI55" s="458"/>
      <c r="AJ55" s="458"/>
      <c r="AK55" s="458"/>
      <c r="AL55" s="459"/>
      <c r="AN55" s="3"/>
    </row>
    <row r="56" spans="2:40" x14ac:dyDescent="0.15">
      <c r="B56" s="447"/>
      <c r="C56" s="457"/>
      <c r="D56" s="458"/>
      <c r="E56" s="458"/>
      <c r="F56" s="458"/>
      <c r="G56" s="458"/>
      <c r="H56" s="458"/>
      <c r="I56" s="458"/>
      <c r="J56" s="458"/>
      <c r="K56" s="458"/>
      <c r="L56" s="458"/>
      <c r="M56" s="458"/>
      <c r="N56" s="458"/>
      <c r="O56" s="458"/>
      <c r="P56" s="458"/>
      <c r="Q56" s="458"/>
      <c r="R56" s="458"/>
      <c r="S56" s="458"/>
      <c r="T56" s="459"/>
      <c r="U56" s="457"/>
      <c r="V56" s="458"/>
      <c r="W56" s="458"/>
      <c r="X56" s="458"/>
      <c r="Y56" s="458"/>
      <c r="Z56" s="458"/>
      <c r="AA56" s="458"/>
      <c r="AB56" s="458"/>
      <c r="AC56" s="458"/>
      <c r="AD56" s="458"/>
      <c r="AE56" s="458"/>
      <c r="AF56" s="458"/>
      <c r="AG56" s="458"/>
      <c r="AH56" s="458"/>
      <c r="AI56" s="458"/>
      <c r="AJ56" s="458"/>
      <c r="AK56" s="458"/>
      <c r="AL56" s="459"/>
      <c r="AN56" s="3"/>
    </row>
    <row r="57" spans="2:40" x14ac:dyDescent="0.15">
      <c r="B57" s="448"/>
      <c r="C57" s="460"/>
      <c r="D57" s="452"/>
      <c r="E57" s="452"/>
      <c r="F57" s="452"/>
      <c r="G57" s="452"/>
      <c r="H57" s="452"/>
      <c r="I57" s="452"/>
      <c r="J57" s="452"/>
      <c r="K57" s="452"/>
      <c r="L57" s="452"/>
      <c r="M57" s="452"/>
      <c r="N57" s="452"/>
      <c r="O57" s="452"/>
      <c r="P57" s="452"/>
      <c r="Q57" s="452"/>
      <c r="R57" s="452"/>
      <c r="S57" s="452"/>
      <c r="T57" s="453"/>
      <c r="U57" s="460"/>
      <c r="V57" s="452"/>
      <c r="W57" s="452"/>
      <c r="X57" s="452"/>
      <c r="Y57" s="452"/>
      <c r="Z57" s="452"/>
      <c r="AA57" s="452"/>
      <c r="AB57" s="452"/>
      <c r="AC57" s="452"/>
      <c r="AD57" s="452"/>
      <c r="AE57" s="452"/>
      <c r="AF57" s="452"/>
      <c r="AG57" s="452"/>
      <c r="AH57" s="452"/>
      <c r="AI57" s="452"/>
      <c r="AJ57" s="452"/>
      <c r="AK57" s="452"/>
      <c r="AL57" s="453"/>
      <c r="AN57" s="3"/>
    </row>
    <row r="58" spans="2:40" ht="14.25" customHeight="1" x14ac:dyDescent="0.15">
      <c r="B58" s="439" t="s">
        <v>24</v>
      </c>
      <c r="C58" s="440"/>
      <c r="D58" s="440"/>
      <c r="E58" s="440"/>
      <c r="F58" s="441"/>
      <c r="G58" s="442" t="s">
        <v>25</v>
      </c>
      <c r="H58" s="442"/>
      <c r="I58" s="442"/>
      <c r="J58" s="442"/>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2"/>
      <c r="AL58" s="442"/>
      <c r="AN58" s="3"/>
    </row>
    <row r="60" spans="2:40" x14ac:dyDescent="0.15">
      <c r="B60" s="14" t="s">
        <v>54</v>
      </c>
    </row>
    <row r="61" spans="2:40" x14ac:dyDescent="0.15">
      <c r="B61" s="14" t="s">
        <v>114</v>
      </c>
    </row>
    <row r="62" spans="2:40" x14ac:dyDescent="0.15">
      <c r="B62" s="14" t="s">
        <v>115</v>
      </c>
    </row>
    <row r="63" spans="2:40" x14ac:dyDescent="0.15">
      <c r="B63" s="14" t="s">
        <v>118</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116</v>
      </c>
    </row>
    <row r="70" spans="2:41" x14ac:dyDescent="0.15">
      <c r="B70" s="14" t="s">
        <v>113</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居宅</vt:lpstr>
      <vt:lpstr>居宅サテライト</vt:lpstr>
      <vt:lpstr>備考（1）</vt:lpstr>
      <vt:lpstr>予防</vt:lpstr>
      <vt:lpstr>予防サテライト</vt:lpstr>
      <vt:lpstr>備考（1－2）</vt:lpstr>
      <vt:lpstr>別紙●24</vt:lpstr>
      <vt:lpstr>居宅!Print_Area</vt:lpstr>
      <vt:lpstr>居宅サテライト!Print_Area</vt:lpstr>
      <vt:lpstr>'備考（1）'!Print_Area</vt:lpstr>
      <vt:lpstr>'備考（1－2）'!Print_Area</vt:lpstr>
      <vt:lpstr>予防!Print_Area</vt:lpstr>
      <vt:lpstr>予防サテライト!Print_Area</vt:lpstr>
      <vt:lpstr>居宅!Print_Titles</vt:lpstr>
      <vt:lpstr>居宅サテライト!Print_Titles</vt:lpstr>
      <vt:lpstr>予防!Print_Titles</vt:lpstr>
      <vt:lpstr>予防サテライト!Print_Titles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2025-06-18T09:46:47Z</cp:lastPrinted>
  <dcterms:created xsi:type="dcterms:W3CDTF">2023-01-16T02:34:32Z</dcterms:created>
  <dcterms:modified xsi:type="dcterms:W3CDTF">2025-07-01T09:52:01Z</dcterms:modified>
</cp:coreProperties>
</file>