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vsu1701\shared$\430_給水係\300 業務改善\【令和３年度】\④ホームページ関連(水理計算ツール掲載)\水理計算ツール【直結直圧用】\"/>
    </mc:Choice>
  </mc:AlternateContent>
  <workbookProtection workbookAlgorithmName="SHA-512" workbookHashValue="fIPG93/FK/XK0b3JOCg26UjIi8olA2klm3V21ojNfhXgy4jZrlXg93BMw4WNr0PkWOIL0Fwh4AFga3+D2qt2OQ==" workbookSaltValue="G+URTzNBDso1MEcUW3TA5g==" workbookSpinCount="100000" lockStructure="1"/>
  <bookViews>
    <workbookView xWindow="-105" yWindow="-105" windowWidth="19425" windowHeight="10425"/>
  </bookViews>
  <sheets>
    <sheet name="説明" sheetId="38" r:id="rId1"/>
    <sheet name="様式第9号(ウェストン公式+へーゼン公式)" sheetId="33" r:id="rId2"/>
    <sheet name="データ" sheetId="37" r:id="rId3"/>
  </sheets>
  <definedNames>
    <definedName name="_xlnm._FilterDatabase" localSheetId="1" hidden="1">'様式第9号(ウェストン公式+へーゼン公式)'!$R$1:$R$64</definedName>
    <definedName name="_xlnm.Print_Area" localSheetId="0">説明!$A$1:$J$50</definedName>
    <definedName name="_xlnm.Print_Area" localSheetId="1">'様式第9号(ウェストン公式+へーゼン公式)'!$B$3:$BN$66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33" l="1"/>
  <c r="V21" i="33" l="1"/>
  <c r="Y21" i="33"/>
  <c r="AB21" i="33"/>
  <c r="AE21" i="33"/>
  <c r="AH21" i="33"/>
  <c r="Q51" i="33" l="1"/>
  <c r="Q49" i="33"/>
  <c r="Q47" i="33"/>
  <c r="Q45" i="33"/>
  <c r="Q43" i="33"/>
  <c r="Q41" i="33"/>
  <c r="Q39" i="33"/>
  <c r="Q37" i="33"/>
  <c r="Q35" i="33"/>
  <c r="Q33" i="33"/>
  <c r="Q31" i="33"/>
  <c r="Q27" i="33"/>
  <c r="Q25" i="33"/>
  <c r="Q23" i="33"/>
  <c r="AB59" i="33" l="1"/>
  <c r="K19" i="33"/>
  <c r="AB63" i="33" l="1"/>
  <c r="L20" i="33" l="1"/>
  <c r="Q19" i="33" s="1"/>
  <c r="K53" i="33"/>
  <c r="L54" i="33" s="1"/>
  <c r="Q53" i="33" s="1"/>
  <c r="K51" i="33"/>
  <c r="L52" i="33" s="1"/>
  <c r="K49" i="33"/>
  <c r="L50" i="33" s="1"/>
  <c r="K47" i="33"/>
  <c r="L48" i="33" s="1"/>
  <c r="K45" i="33"/>
  <c r="L46" i="33" s="1"/>
  <c r="K43" i="33"/>
  <c r="L44" i="33" s="1"/>
  <c r="K41" i="33"/>
  <c r="L42" i="33" s="1"/>
  <c r="K39" i="33"/>
  <c r="L40" i="33" s="1"/>
  <c r="K37" i="33"/>
  <c r="L38" i="33" s="1"/>
  <c r="K35" i="33"/>
  <c r="L36" i="33" s="1"/>
  <c r="K33" i="33"/>
  <c r="L34" i="33" s="1"/>
  <c r="K31" i="33"/>
  <c r="L32" i="33" s="1"/>
  <c r="K29" i="33"/>
  <c r="L30" i="33" s="1"/>
  <c r="Q29" i="33" s="1"/>
  <c r="K27" i="33"/>
  <c r="L28" i="33" s="1"/>
  <c r="K25" i="33"/>
  <c r="L26" i="33" s="1"/>
  <c r="K23" i="33"/>
  <c r="L24" i="33" s="1"/>
  <c r="K21" i="33"/>
  <c r="L22" i="33" s="1"/>
  <c r="Q21" i="33" s="1"/>
  <c r="AB65" i="33" l="1"/>
  <c r="AB61" i="33"/>
  <c r="S53" i="33" l="1"/>
  <c r="S54" i="33" s="1"/>
  <c r="O53" i="33"/>
  <c r="N53" i="33"/>
  <c r="M53" i="33"/>
  <c r="N51" i="33"/>
  <c r="M51" i="33"/>
  <c r="N49" i="33"/>
  <c r="M49" i="33"/>
  <c r="M47" i="33"/>
  <c r="N45" i="33"/>
  <c r="M45" i="33"/>
  <c r="N43" i="33"/>
  <c r="M43" i="33"/>
  <c r="N41" i="33"/>
  <c r="M41" i="33"/>
  <c r="M39" i="33"/>
  <c r="N37" i="33"/>
  <c r="M37" i="33"/>
  <c r="N35" i="33"/>
  <c r="M35" i="33"/>
  <c r="N33" i="33"/>
  <c r="M33" i="33"/>
  <c r="N31" i="33"/>
  <c r="M31" i="33"/>
  <c r="N29" i="33"/>
  <c r="M29" i="33"/>
  <c r="N27" i="33"/>
  <c r="M27" i="33"/>
  <c r="N25" i="33"/>
  <c r="M25" i="33"/>
  <c r="O23" i="33"/>
  <c r="M23" i="33"/>
  <c r="O21" i="33"/>
  <c r="M21" i="33"/>
  <c r="M19" i="33"/>
  <c r="O19" i="33"/>
  <c r="S20" i="33"/>
  <c r="BI53" i="33"/>
  <c r="BI54" i="33" s="1"/>
  <c r="BF53" i="33"/>
  <c r="BF54" i="33" s="1"/>
  <c r="BC53" i="33"/>
  <c r="BC54" i="33" s="1"/>
  <c r="AZ53" i="33"/>
  <c r="AZ54" i="33" s="1"/>
  <c r="AW53" i="33"/>
  <c r="AW54" i="33" s="1"/>
  <c r="AT53" i="33"/>
  <c r="AT54" i="33" s="1"/>
  <c r="AQ53" i="33"/>
  <c r="AQ54" i="33" s="1"/>
  <c r="AN53" i="33"/>
  <c r="AN54" i="33" s="1"/>
  <c r="AK53" i="33"/>
  <c r="AK54" i="33" s="1"/>
  <c r="AH53" i="33"/>
  <c r="AH54" i="33" s="1"/>
  <c r="AE53" i="33"/>
  <c r="AE54" i="33" s="1"/>
  <c r="AB53" i="33"/>
  <c r="AB54" i="33" s="1"/>
  <c r="Y53" i="33"/>
  <c r="Y54" i="33" s="1"/>
  <c r="V53" i="33"/>
  <c r="V54" i="33" s="1"/>
  <c r="BI51" i="33"/>
  <c r="BI52" i="33" s="1"/>
  <c r="BF51" i="33"/>
  <c r="BF52" i="33" s="1"/>
  <c r="BC51" i="33"/>
  <c r="BC52" i="33" s="1"/>
  <c r="AZ51" i="33"/>
  <c r="AZ52" i="33" s="1"/>
  <c r="AW51" i="33"/>
  <c r="AW52" i="33" s="1"/>
  <c r="AT51" i="33"/>
  <c r="AT52" i="33" s="1"/>
  <c r="AQ51" i="33"/>
  <c r="AQ52" i="33" s="1"/>
  <c r="AN51" i="33"/>
  <c r="AN52" i="33" s="1"/>
  <c r="AK51" i="33"/>
  <c r="AK52" i="33" s="1"/>
  <c r="AH51" i="33"/>
  <c r="AH52" i="33" s="1"/>
  <c r="AE51" i="33"/>
  <c r="AE52" i="33" s="1"/>
  <c r="AB51" i="33"/>
  <c r="AB52" i="33" s="1"/>
  <c r="Y51" i="33"/>
  <c r="Y52" i="33" s="1"/>
  <c r="V51" i="33"/>
  <c r="V52" i="33" s="1"/>
  <c r="S51" i="33"/>
  <c r="S52" i="33" s="1"/>
  <c r="BI49" i="33"/>
  <c r="BI50" i="33" s="1"/>
  <c r="BF49" i="33"/>
  <c r="BF50" i="33" s="1"/>
  <c r="BC49" i="33"/>
  <c r="BC50" i="33" s="1"/>
  <c r="AZ49" i="33"/>
  <c r="AZ50" i="33" s="1"/>
  <c r="AW49" i="33"/>
  <c r="AW50" i="33" s="1"/>
  <c r="AT49" i="33"/>
  <c r="AT50" i="33" s="1"/>
  <c r="AQ49" i="33"/>
  <c r="AQ50" i="33" s="1"/>
  <c r="AN49" i="33"/>
  <c r="AN50" i="33" s="1"/>
  <c r="AK49" i="33"/>
  <c r="AK50" i="33" s="1"/>
  <c r="AH49" i="33"/>
  <c r="AH50" i="33" s="1"/>
  <c r="AE49" i="33"/>
  <c r="AE50" i="33" s="1"/>
  <c r="AB49" i="33"/>
  <c r="AB50" i="33" s="1"/>
  <c r="Y49" i="33"/>
  <c r="Y50" i="33" s="1"/>
  <c r="V49" i="33"/>
  <c r="V50" i="33" s="1"/>
  <c r="S49" i="33"/>
  <c r="S50" i="33" s="1"/>
  <c r="BI47" i="33"/>
  <c r="BI48" i="33" s="1"/>
  <c r="BF47" i="33"/>
  <c r="BF48" i="33" s="1"/>
  <c r="BC47" i="33"/>
  <c r="BC48" i="33" s="1"/>
  <c r="AZ47" i="33"/>
  <c r="AZ48" i="33" s="1"/>
  <c r="AW47" i="33"/>
  <c r="AW48" i="33" s="1"/>
  <c r="AT47" i="33"/>
  <c r="AT48" i="33" s="1"/>
  <c r="AQ47" i="33"/>
  <c r="AQ48" i="33" s="1"/>
  <c r="AN47" i="33"/>
  <c r="AN48" i="33" s="1"/>
  <c r="AK47" i="33"/>
  <c r="AK48" i="33" s="1"/>
  <c r="AH47" i="33"/>
  <c r="AH48" i="33" s="1"/>
  <c r="AE47" i="33"/>
  <c r="AE48" i="33" s="1"/>
  <c r="AB47" i="33"/>
  <c r="AB48" i="33" s="1"/>
  <c r="Y47" i="33"/>
  <c r="Y48" i="33" s="1"/>
  <c r="V47" i="33"/>
  <c r="V48" i="33" s="1"/>
  <c r="S47" i="33"/>
  <c r="S48" i="33" s="1"/>
  <c r="BI45" i="33"/>
  <c r="BI46" i="33" s="1"/>
  <c r="BF45" i="33"/>
  <c r="BF46" i="33" s="1"/>
  <c r="BC45" i="33"/>
  <c r="BC46" i="33" s="1"/>
  <c r="AZ45" i="33"/>
  <c r="AZ46" i="33" s="1"/>
  <c r="AW45" i="33"/>
  <c r="AW46" i="33" s="1"/>
  <c r="AT45" i="33"/>
  <c r="AT46" i="33" s="1"/>
  <c r="AQ45" i="33"/>
  <c r="AQ46" i="33" s="1"/>
  <c r="AN45" i="33"/>
  <c r="AN46" i="33" s="1"/>
  <c r="AK45" i="33"/>
  <c r="AK46" i="33" s="1"/>
  <c r="AH45" i="33"/>
  <c r="AH46" i="33" s="1"/>
  <c r="AE45" i="33"/>
  <c r="AE46" i="33" s="1"/>
  <c r="AB45" i="33"/>
  <c r="AB46" i="33" s="1"/>
  <c r="Y45" i="33"/>
  <c r="Y46" i="33" s="1"/>
  <c r="V45" i="33"/>
  <c r="V46" i="33" s="1"/>
  <c r="S45" i="33"/>
  <c r="S46" i="33" s="1"/>
  <c r="BI43" i="33"/>
  <c r="BI44" i="33" s="1"/>
  <c r="BF43" i="33"/>
  <c r="BF44" i="33" s="1"/>
  <c r="BC43" i="33"/>
  <c r="BC44" i="33" s="1"/>
  <c r="AZ43" i="33"/>
  <c r="AZ44" i="33" s="1"/>
  <c r="AW43" i="33"/>
  <c r="AW44" i="33" s="1"/>
  <c r="AT43" i="33"/>
  <c r="AT44" i="33" s="1"/>
  <c r="AQ43" i="33"/>
  <c r="AQ44" i="33" s="1"/>
  <c r="AN43" i="33"/>
  <c r="AN44" i="33" s="1"/>
  <c r="AK43" i="33"/>
  <c r="AK44" i="33" s="1"/>
  <c r="AH43" i="33"/>
  <c r="AH44" i="33" s="1"/>
  <c r="AE43" i="33"/>
  <c r="AE44" i="33" s="1"/>
  <c r="AB43" i="33"/>
  <c r="AB44" i="33" s="1"/>
  <c r="Y43" i="33"/>
  <c r="Y44" i="33" s="1"/>
  <c r="V43" i="33"/>
  <c r="V44" i="33" s="1"/>
  <c r="S43" i="33"/>
  <c r="S44" i="33" s="1"/>
  <c r="BI41" i="33"/>
  <c r="BI42" i="33" s="1"/>
  <c r="BF41" i="33"/>
  <c r="BF42" i="33" s="1"/>
  <c r="BC41" i="33"/>
  <c r="BC42" i="33" s="1"/>
  <c r="AZ41" i="33"/>
  <c r="AZ42" i="33" s="1"/>
  <c r="AW41" i="33"/>
  <c r="AW42" i="33" s="1"/>
  <c r="AT41" i="33"/>
  <c r="AT42" i="33" s="1"/>
  <c r="AQ41" i="33"/>
  <c r="AQ42" i="33" s="1"/>
  <c r="AN41" i="33"/>
  <c r="AN42" i="33" s="1"/>
  <c r="AK41" i="33"/>
  <c r="AK42" i="33" s="1"/>
  <c r="AH41" i="33"/>
  <c r="AH42" i="33" s="1"/>
  <c r="AE41" i="33"/>
  <c r="AE42" i="33" s="1"/>
  <c r="AB41" i="33"/>
  <c r="AB42" i="33" s="1"/>
  <c r="Y41" i="33"/>
  <c r="Y42" i="33" s="1"/>
  <c r="V41" i="33"/>
  <c r="V42" i="33" s="1"/>
  <c r="S41" i="33"/>
  <c r="S42" i="33" s="1"/>
  <c r="BI39" i="33"/>
  <c r="BI40" i="33" s="1"/>
  <c r="BF39" i="33"/>
  <c r="BF40" i="33" s="1"/>
  <c r="BC39" i="33"/>
  <c r="BC40" i="33" s="1"/>
  <c r="AZ39" i="33"/>
  <c r="AZ40" i="33" s="1"/>
  <c r="AW39" i="33"/>
  <c r="AW40" i="33" s="1"/>
  <c r="AT39" i="33"/>
  <c r="AT40" i="33" s="1"/>
  <c r="AQ39" i="33"/>
  <c r="AQ40" i="33" s="1"/>
  <c r="AN39" i="33"/>
  <c r="AN40" i="33" s="1"/>
  <c r="AK39" i="33"/>
  <c r="AK40" i="33" s="1"/>
  <c r="AH39" i="33"/>
  <c r="AH40" i="33" s="1"/>
  <c r="AE39" i="33"/>
  <c r="AE40" i="33" s="1"/>
  <c r="AB39" i="33"/>
  <c r="AB40" i="33" s="1"/>
  <c r="Y39" i="33"/>
  <c r="Y40" i="33" s="1"/>
  <c r="V39" i="33"/>
  <c r="V40" i="33" s="1"/>
  <c r="S39" i="33"/>
  <c r="S40" i="33" s="1"/>
  <c r="BI37" i="33"/>
  <c r="BI38" i="33" s="1"/>
  <c r="BF37" i="33"/>
  <c r="BF38" i="33" s="1"/>
  <c r="BC37" i="33"/>
  <c r="BC38" i="33" s="1"/>
  <c r="AZ37" i="33"/>
  <c r="AZ38" i="33" s="1"/>
  <c r="AW37" i="33"/>
  <c r="AW38" i="33" s="1"/>
  <c r="AT37" i="33"/>
  <c r="AT38" i="33" s="1"/>
  <c r="AQ37" i="33"/>
  <c r="AQ38" i="33" s="1"/>
  <c r="AN37" i="33"/>
  <c r="AN38" i="33" s="1"/>
  <c r="AK37" i="33"/>
  <c r="AK38" i="33" s="1"/>
  <c r="AH37" i="33"/>
  <c r="AH38" i="33" s="1"/>
  <c r="AE37" i="33"/>
  <c r="AE38" i="33" s="1"/>
  <c r="AB37" i="33"/>
  <c r="AB38" i="33" s="1"/>
  <c r="Y37" i="33"/>
  <c r="Y38" i="33" s="1"/>
  <c r="V37" i="33"/>
  <c r="V38" i="33" s="1"/>
  <c r="S37" i="33"/>
  <c r="S38" i="33" s="1"/>
  <c r="BI35" i="33"/>
  <c r="BI36" i="33" s="1"/>
  <c r="BF35" i="33"/>
  <c r="BF36" i="33" s="1"/>
  <c r="BC35" i="33"/>
  <c r="BC36" i="33" s="1"/>
  <c r="AZ35" i="33"/>
  <c r="AZ36" i="33" s="1"/>
  <c r="AW35" i="33"/>
  <c r="AW36" i="33" s="1"/>
  <c r="AT35" i="33"/>
  <c r="AT36" i="33" s="1"/>
  <c r="AQ35" i="33"/>
  <c r="AQ36" i="33" s="1"/>
  <c r="AN35" i="33"/>
  <c r="AN36" i="33" s="1"/>
  <c r="AK35" i="33"/>
  <c r="AK36" i="33" s="1"/>
  <c r="AH35" i="33"/>
  <c r="AH36" i="33" s="1"/>
  <c r="AE35" i="33"/>
  <c r="AE36" i="33" s="1"/>
  <c r="AB35" i="33"/>
  <c r="AB36" i="33" s="1"/>
  <c r="Y35" i="33"/>
  <c r="Y36" i="33" s="1"/>
  <c r="V35" i="33"/>
  <c r="V36" i="33" s="1"/>
  <c r="S35" i="33"/>
  <c r="S36" i="33" s="1"/>
  <c r="BI33" i="33"/>
  <c r="BI34" i="33" s="1"/>
  <c r="BF33" i="33"/>
  <c r="BF34" i="33" s="1"/>
  <c r="BC33" i="33"/>
  <c r="BC34" i="33" s="1"/>
  <c r="AZ33" i="33"/>
  <c r="AZ34" i="33" s="1"/>
  <c r="AW33" i="33"/>
  <c r="AW34" i="33" s="1"/>
  <c r="AT33" i="33"/>
  <c r="AT34" i="33" s="1"/>
  <c r="AQ33" i="33"/>
  <c r="AQ34" i="33" s="1"/>
  <c r="AN33" i="33"/>
  <c r="AN34" i="33" s="1"/>
  <c r="AK33" i="33"/>
  <c r="AK34" i="33" s="1"/>
  <c r="AH33" i="33"/>
  <c r="AH34" i="33" s="1"/>
  <c r="AE33" i="33"/>
  <c r="AE34" i="33" s="1"/>
  <c r="AB33" i="33"/>
  <c r="AB34" i="33" s="1"/>
  <c r="Y33" i="33"/>
  <c r="Y34" i="33" s="1"/>
  <c r="V33" i="33"/>
  <c r="V34" i="33" s="1"/>
  <c r="S33" i="33"/>
  <c r="S34" i="33" s="1"/>
  <c r="BI31" i="33"/>
  <c r="BI32" i="33" s="1"/>
  <c r="BF31" i="33"/>
  <c r="BF32" i="33" s="1"/>
  <c r="BC31" i="33"/>
  <c r="BC32" i="33" s="1"/>
  <c r="AZ31" i="33"/>
  <c r="AZ32" i="33" s="1"/>
  <c r="AW31" i="33"/>
  <c r="AW32" i="33" s="1"/>
  <c r="AT31" i="33"/>
  <c r="AT32" i="33" s="1"/>
  <c r="AQ31" i="33"/>
  <c r="AQ32" i="33" s="1"/>
  <c r="AN31" i="33"/>
  <c r="AN32" i="33" s="1"/>
  <c r="AK31" i="33"/>
  <c r="AK32" i="33" s="1"/>
  <c r="AH31" i="33"/>
  <c r="AH32" i="33" s="1"/>
  <c r="AE31" i="33"/>
  <c r="AE32" i="33" s="1"/>
  <c r="AB31" i="33"/>
  <c r="AB32" i="33" s="1"/>
  <c r="Y31" i="33"/>
  <c r="Y32" i="33" s="1"/>
  <c r="V31" i="33"/>
  <c r="V32" i="33" s="1"/>
  <c r="S31" i="33"/>
  <c r="S32" i="33" s="1"/>
  <c r="BI29" i="33"/>
  <c r="BI30" i="33" s="1"/>
  <c r="BF29" i="33"/>
  <c r="BF30" i="33" s="1"/>
  <c r="BC29" i="33"/>
  <c r="BC30" i="33" s="1"/>
  <c r="AZ29" i="33"/>
  <c r="AZ30" i="33" s="1"/>
  <c r="AW29" i="33"/>
  <c r="AW30" i="33" s="1"/>
  <c r="AT29" i="33"/>
  <c r="AT30" i="33" s="1"/>
  <c r="AQ29" i="33"/>
  <c r="AQ30" i="33" s="1"/>
  <c r="AN29" i="33"/>
  <c r="AN30" i="33" s="1"/>
  <c r="AK29" i="33"/>
  <c r="AK30" i="33" s="1"/>
  <c r="AH29" i="33"/>
  <c r="AH30" i="33" s="1"/>
  <c r="AE29" i="33"/>
  <c r="AE30" i="33" s="1"/>
  <c r="AB29" i="33"/>
  <c r="AB30" i="33" s="1"/>
  <c r="Y29" i="33"/>
  <c r="Y30" i="33" s="1"/>
  <c r="V29" i="33"/>
  <c r="V30" i="33" s="1"/>
  <c r="S29" i="33"/>
  <c r="S30" i="33" s="1"/>
  <c r="BI27" i="33"/>
  <c r="BI28" i="33" s="1"/>
  <c r="BF27" i="33"/>
  <c r="BF28" i="33" s="1"/>
  <c r="BC27" i="33"/>
  <c r="BC28" i="33" s="1"/>
  <c r="AZ27" i="33"/>
  <c r="AZ28" i="33" s="1"/>
  <c r="AW27" i="33"/>
  <c r="AW28" i="33" s="1"/>
  <c r="AT27" i="33"/>
  <c r="AT28" i="33" s="1"/>
  <c r="AQ27" i="33"/>
  <c r="AQ28" i="33" s="1"/>
  <c r="AN27" i="33"/>
  <c r="AN28" i="33" s="1"/>
  <c r="AK27" i="33"/>
  <c r="AK28" i="33" s="1"/>
  <c r="AH27" i="33"/>
  <c r="AH28" i="33" s="1"/>
  <c r="AE27" i="33"/>
  <c r="AE28" i="33" s="1"/>
  <c r="AB27" i="33"/>
  <c r="AB28" i="33" s="1"/>
  <c r="Y27" i="33"/>
  <c r="Y28" i="33" s="1"/>
  <c r="V27" i="33"/>
  <c r="V28" i="33" s="1"/>
  <c r="S27" i="33"/>
  <c r="S28" i="33" s="1"/>
  <c r="BI25" i="33"/>
  <c r="BI26" i="33" s="1"/>
  <c r="BF25" i="33"/>
  <c r="BF26" i="33" s="1"/>
  <c r="BC25" i="33"/>
  <c r="BC26" i="33" s="1"/>
  <c r="AZ25" i="33"/>
  <c r="AZ26" i="33" s="1"/>
  <c r="AW25" i="33"/>
  <c r="AW26" i="33" s="1"/>
  <c r="AT25" i="33"/>
  <c r="AT26" i="33" s="1"/>
  <c r="AQ25" i="33"/>
  <c r="AQ26" i="33" s="1"/>
  <c r="AN25" i="33"/>
  <c r="AN26" i="33" s="1"/>
  <c r="AK25" i="33"/>
  <c r="AK26" i="33" s="1"/>
  <c r="AH25" i="33"/>
  <c r="AH26" i="33" s="1"/>
  <c r="AE25" i="33"/>
  <c r="AE26" i="33" s="1"/>
  <c r="AB25" i="33"/>
  <c r="AB26" i="33" s="1"/>
  <c r="Y25" i="33"/>
  <c r="Y26" i="33" s="1"/>
  <c r="V25" i="33"/>
  <c r="V26" i="33" s="1"/>
  <c r="S25" i="33"/>
  <c r="S26" i="33" s="1"/>
  <c r="BI23" i="33"/>
  <c r="BI24" i="33" s="1"/>
  <c r="BF23" i="33"/>
  <c r="BF24" i="33" s="1"/>
  <c r="BC23" i="33"/>
  <c r="BC24" i="33" s="1"/>
  <c r="AZ23" i="33"/>
  <c r="AZ24" i="33" s="1"/>
  <c r="AW23" i="33"/>
  <c r="AW24" i="33" s="1"/>
  <c r="AT23" i="33"/>
  <c r="AT24" i="33" s="1"/>
  <c r="AQ23" i="33"/>
  <c r="AQ24" i="33" s="1"/>
  <c r="AN23" i="33"/>
  <c r="AN24" i="33" s="1"/>
  <c r="AK23" i="33"/>
  <c r="AK24" i="33" s="1"/>
  <c r="AH23" i="33"/>
  <c r="AH24" i="33" s="1"/>
  <c r="AE23" i="33"/>
  <c r="AE24" i="33" s="1"/>
  <c r="AB23" i="33"/>
  <c r="AB24" i="33" s="1"/>
  <c r="Y23" i="33"/>
  <c r="Y24" i="33" s="1"/>
  <c r="V23" i="33"/>
  <c r="V24" i="33" s="1"/>
  <c r="S23" i="33"/>
  <c r="S24" i="33" s="1"/>
  <c r="BI21" i="33"/>
  <c r="BI22" i="33" s="1"/>
  <c r="BF21" i="33"/>
  <c r="BF22" i="33" s="1"/>
  <c r="BC21" i="33"/>
  <c r="BC22" i="33" s="1"/>
  <c r="AZ21" i="33"/>
  <c r="AZ22" i="33" s="1"/>
  <c r="AW21" i="33"/>
  <c r="AW22" i="33" s="1"/>
  <c r="AT21" i="33"/>
  <c r="AT22" i="33" s="1"/>
  <c r="AQ21" i="33"/>
  <c r="AQ22" i="33" s="1"/>
  <c r="AN21" i="33"/>
  <c r="AN22" i="33" s="1"/>
  <c r="AK21" i="33"/>
  <c r="AK22" i="33" s="1"/>
  <c r="AH22" i="33"/>
  <c r="AE22" i="33"/>
  <c r="AB22" i="33"/>
  <c r="Y22" i="33"/>
  <c r="V22" i="33"/>
  <c r="S21" i="33"/>
  <c r="S22" i="33" s="1"/>
  <c r="BI19" i="33"/>
  <c r="BI20" i="33" s="1"/>
  <c r="BF19" i="33"/>
  <c r="BF20" i="33" s="1"/>
  <c r="BC19" i="33"/>
  <c r="BC20" i="33" s="1"/>
  <c r="AZ19" i="33"/>
  <c r="AZ20" i="33" s="1"/>
  <c r="AW19" i="33"/>
  <c r="AW20" i="33" s="1"/>
  <c r="AT19" i="33"/>
  <c r="AT20" i="33" s="1"/>
  <c r="AQ19" i="33"/>
  <c r="AQ20" i="33" s="1"/>
  <c r="AN19" i="33"/>
  <c r="AN20" i="33" s="1"/>
  <c r="AK19" i="33"/>
  <c r="AK20" i="33" s="1"/>
  <c r="AH19" i="33"/>
  <c r="AH20" i="33" s="1"/>
  <c r="AE19" i="33"/>
  <c r="AE20" i="33" s="1"/>
  <c r="AB19" i="33"/>
  <c r="AB20" i="33" s="1"/>
  <c r="Y19" i="33"/>
  <c r="Y20" i="33" s="1"/>
  <c r="V19" i="33"/>
  <c r="V20" i="33" s="1"/>
  <c r="P53" i="33" l="1"/>
  <c r="BL53" i="33"/>
  <c r="BM53" i="33" s="1"/>
  <c r="N19" i="33"/>
  <c r="P19" i="33" s="1"/>
  <c r="BL19" i="33"/>
  <c r="BM19" i="33" s="1"/>
  <c r="BL35" i="33"/>
  <c r="BM35" i="33" s="1"/>
  <c r="BL51" i="33"/>
  <c r="BM51" i="33" s="1"/>
  <c r="BL33" i="33"/>
  <c r="BM33" i="33" s="1"/>
  <c r="BL31" i="33"/>
  <c r="BM31" i="33" s="1"/>
  <c r="BL47" i="33"/>
  <c r="BM47" i="33" s="1"/>
  <c r="BL29" i="33"/>
  <c r="BM29" i="33" s="1"/>
  <c r="BL45" i="33"/>
  <c r="BM45" i="33" s="1"/>
  <c r="BL27" i="33"/>
  <c r="BM27" i="33" s="1"/>
  <c r="BL43" i="33"/>
  <c r="BM43" i="33" s="1"/>
  <c r="BL25" i="33"/>
  <c r="BM25" i="33" s="1"/>
  <c r="BL41" i="33"/>
  <c r="BM41" i="33" s="1"/>
  <c r="BL39" i="33"/>
  <c r="BM39" i="33" s="1"/>
  <c r="BL49" i="33"/>
  <c r="BM49" i="33" s="1"/>
  <c r="BL23" i="33"/>
  <c r="BM23" i="33" s="1"/>
  <c r="BL21" i="33"/>
  <c r="BM21" i="33" s="1"/>
  <c r="BL37" i="33"/>
  <c r="BM37" i="33" s="1"/>
  <c r="BN53" i="33" l="1"/>
  <c r="BN19" i="33"/>
  <c r="O25" i="33"/>
  <c r="P25" i="33" s="1"/>
  <c r="BN25" i="33" s="1"/>
  <c r="N23" i="33"/>
  <c r="P23" i="33" s="1"/>
  <c r="BN23" i="33" s="1"/>
  <c r="N21" i="33" l="1"/>
  <c r="P21" i="33" s="1"/>
  <c r="BN21" i="33" s="1"/>
  <c r="O29" i="33"/>
  <c r="P29" i="33" s="1"/>
  <c r="BN29" i="33" s="1"/>
  <c r="O47" i="33"/>
  <c r="N47" i="33"/>
  <c r="O33" i="33"/>
  <c r="P33" i="33" s="1"/>
  <c r="BN33" i="33" s="1"/>
  <c r="O49" i="33"/>
  <c r="P49" i="33" s="1"/>
  <c r="BN49" i="33" s="1"/>
  <c r="O31" i="33"/>
  <c r="P31" i="33" s="1"/>
  <c r="BN31" i="33" s="1"/>
  <c r="O35" i="33"/>
  <c r="P35" i="33" s="1"/>
  <c r="BN35" i="33" s="1"/>
  <c r="O51" i="33"/>
  <c r="P51" i="33" s="1"/>
  <c r="BN51" i="33" s="1"/>
  <c r="O37" i="33"/>
  <c r="P37" i="33" s="1"/>
  <c r="BN37" i="33" s="1"/>
  <c r="N39" i="33"/>
  <c r="O39" i="33"/>
  <c r="O41" i="33"/>
  <c r="P41" i="33" s="1"/>
  <c r="BN41" i="33" s="1"/>
  <c r="O27" i="33"/>
  <c r="P27" i="33" s="1"/>
  <c r="BN27" i="33" s="1"/>
  <c r="O43" i="33"/>
  <c r="P43" i="33" s="1"/>
  <c r="BN43" i="33" s="1"/>
  <c r="O45" i="33"/>
  <c r="P45" i="33" s="1"/>
  <c r="BN45" i="33" s="1"/>
  <c r="P39" i="33" l="1"/>
  <c r="BN39" i="33" s="1"/>
  <c r="P47" i="33"/>
  <c r="BN47" i="33" s="1"/>
  <c r="BN55" i="33" l="1"/>
  <c r="AK61" i="33" s="1"/>
</calcChain>
</file>

<file path=xl/sharedStrings.xml><?xml version="1.0" encoding="utf-8"?>
<sst xmlns="http://schemas.openxmlformats.org/spreadsheetml/2006/main" count="509" uniqueCount="124">
  <si>
    <t>区間</t>
    <rPh sb="0" eb="2">
      <t>クカン</t>
    </rPh>
    <phoneticPr fontId="1"/>
  </si>
  <si>
    <t>口径</t>
    <rPh sb="0" eb="2">
      <t>コウケイ</t>
    </rPh>
    <phoneticPr fontId="1"/>
  </si>
  <si>
    <t>流量</t>
    <rPh sb="0" eb="2">
      <t>リュウリョウ</t>
    </rPh>
    <phoneticPr fontId="1"/>
  </si>
  <si>
    <t>動水勾配</t>
    <rPh sb="0" eb="1">
      <t>ドウ</t>
    </rPh>
    <rPh sb="1" eb="2">
      <t>スイ</t>
    </rPh>
    <rPh sb="2" eb="4">
      <t>コウバイ</t>
    </rPh>
    <phoneticPr fontId="1"/>
  </si>
  <si>
    <t>実長</t>
    <rPh sb="0" eb="1">
      <t>ジツ</t>
    </rPh>
    <rPh sb="1" eb="2">
      <t>チョウ</t>
    </rPh>
    <phoneticPr fontId="1"/>
  </si>
  <si>
    <t>給水栓</t>
    <rPh sb="0" eb="2">
      <t>キュウスイ</t>
    </rPh>
    <rPh sb="2" eb="3">
      <t>セン</t>
    </rPh>
    <phoneticPr fontId="1"/>
  </si>
  <si>
    <t>メータ</t>
    <phoneticPr fontId="1"/>
  </si>
  <si>
    <t>異径</t>
    <rPh sb="0" eb="1">
      <t>イ</t>
    </rPh>
    <rPh sb="1" eb="2">
      <t>ケイ</t>
    </rPh>
    <phoneticPr fontId="1"/>
  </si>
  <si>
    <t>小計</t>
    <rPh sb="0" eb="2">
      <t>ショウケイ</t>
    </rPh>
    <phoneticPr fontId="1"/>
  </si>
  <si>
    <t>損失水頭</t>
    <rPh sb="0" eb="2">
      <t>ソンシツ</t>
    </rPh>
    <rPh sb="2" eb="4">
      <t>スイトウ</t>
    </rPh>
    <phoneticPr fontId="1"/>
  </si>
  <si>
    <t>～</t>
    <phoneticPr fontId="1"/>
  </si>
  <si>
    <t>（ｍｍ）</t>
    <phoneticPr fontId="1"/>
  </si>
  <si>
    <t>×</t>
    <phoneticPr fontId="1"/>
  </si>
  <si>
    <t>戸</t>
    <rPh sb="0" eb="1">
      <t>コ</t>
    </rPh>
    <phoneticPr fontId="1"/>
  </si>
  <si>
    <t>分岐</t>
    <rPh sb="0" eb="2">
      <t>ブンキ</t>
    </rPh>
    <phoneticPr fontId="1"/>
  </si>
  <si>
    <t>(直)</t>
    <rPh sb="1" eb="2">
      <t>チョク</t>
    </rPh>
    <phoneticPr fontId="1"/>
  </si>
  <si>
    <t>(分)</t>
    <rPh sb="1" eb="2">
      <t>ブン</t>
    </rPh>
    <phoneticPr fontId="1"/>
  </si>
  <si>
    <t>小計×1.1</t>
    <rPh sb="0" eb="2">
      <t>ショウケイ</t>
    </rPh>
    <phoneticPr fontId="1"/>
  </si>
  <si>
    <t>(ｍ)</t>
    <phoneticPr fontId="1"/>
  </si>
  <si>
    <t>有効水頭</t>
    <rPh sb="0" eb="2">
      <t>ユウコウ</t>
    </rPh>
    <rPh sb="2" eb="4">
      <t>スイトウ</t>
    </rPh>
    <phoneticPr fontId="1"/>
  </si>
  <si>
    <t>m</t>
    <phoneticPr fontId="1"/>
  </si>
  <si>
    <t>流速</t>
    <rPh sb="0" eb="2">
      <t>リュウソク</t>
    </rPh>
    <phoneticPr fontId="1"/>
  </si>
  <si>
    <t>甲型止水栓</t>
    <rPh sb="0" eb="2">
      <t>コウガタ</t>
    </rPh>
    <rPh sb="2" eb="5">
      <t>シスイセン</t>
    </rPh>
    <phoneticPr fontId="1"/>
  </si>
  <si>
    <t>（0/000）</t>
    <phoneticPr fontId="1"/>
  </si>
  <si>
    <t>（ℓ/ｍｉｎ）</t>
    <phoneticPr fontId="1"/>
  </si>
  <si>
    <t>（m/sec）</t>
    <phoneticPr fontId="1"/>
  </si>
  <si>
    <t>流速
係数</t>
    <rPh sb="0" eb="2">
      <t>リュウソク</t>
    </rPh>
    <rPh sb="3" eb="5">
      <t>ケイスウ</t>
    </rPh>
    <phoneticPr fontId="1"/>
  </si>
  <si>
    <t>C</t>
    <phoneticPr fontId="1"/>
  </si>
  <si>
    <t xml:space="preserve"> </t>
  </si>
  <si>
    <r>
      <t xml:space="preserve">            </t>
    </r>
    <r>
      <rPr>
        <sz val="10.5"/>
        <color rgb="FF000000"/>
        <rFont val="ＭＳ 明朝"/>
        <family val="1"/>
        <charset val="128"/>
      </rPr>
      <t>注</t>
    </r>
    <r>
      <rPr>
        <sz val="10.5"/>
        <color rgb="FF000000"/>
        <rFont val="Century"/>
        <family val="1"/>
      </rPr>
      <t>)</t>
    </r>
    <r>
      <rPr>
        <sz val="10.5"/>
        <color rgb="FF000000"/>
        <rFont val="ＭＳ 明朝"/>
        <family val="1"/>
        <charset val="128"/>
      </rPr>
      <t xml:space="preserve"> ソケット等継手部の損失を換算総延長の </t>
    </r>
    <r>
      <rPr>
        <sz val="10.5"/>
        <color rgb="FF000000"/>
        <rFont val="Century"/>
        <family val="1"/>
      </rPr>
      <t>10</t>
    </r>
    <r>
      <rPr>
        <sz val="10.5"/>
        <color rgb="FF000000"/>
        <rFont val="ＭＳ 明朝"/>
        <family val="1"/>
        <charset val="128"/>
      </rPr>
      <t>％加えること。</t>
    </r>
    <r>
      <rPr>
        <sz val="10.5"/>
        <color rgb="FF000000"/>
        <rFont val="Century"/>
        <family val="1"/>
      </rPr>
      <t xml:space="preserve"> </t>
    </r>
  </si>
  <si>
    <t xml:space="preserve">表３.５.６ 給水器具損失水頭の直管換算表 </t>
    <phoneticPr fontId="1"/>
  </si>
  <si>
    <t xml:space="preserve">
逆止弁付
止水栓</t>
    <rPh sb="1" eb="4">
      <t>ギャクシベン</t>
    </rPh>
    <rPh sb="4" eb="5">
      <t>ツ</t>
    </rPh>
    <rPh sb="6" eb="9">
      <t>シスイセン</t>
    </rPh>
    <phoneticPr fontId="1"/>
  </si>
  <si>
    <t xml:space="preserve">
逆止弁</t>
    <rPh sb="1" eb="4">
      <t>ギャクシベン</t>
    </rPh>
    <phoneticPr fontId="1"/>
  </si>
  <si>
    <t>スリース
バルブ</t>
    <phoneticPr fontId="1"/>
  </si>
  <si>
    <t xml:space="preserve">       エルボ９０° </t>
    <phoneticPr fontId="1"/>
  </si>
  <si>
    <t xml:space="preserve">       エルボ４５° </t>
    <phoneticPr fontId="1"/>
  </si>
  <si>
    <t xml:space="preserve">曲管９０°(曲り大) </t>
    <phoneticPr fontId="1"/>
  </si>
  <si>
    <t xml:space="preserve">曲管９０°
(曲り大) </t>
    <phoneticPr fontId="1"/>
  </si>
  <si>
    <t xml:space="preserve">曲管９０°
(曲り小) </t>
    <rPh sb="9" eb="10">
      <t>ショウ</t>
    </rPh>
    <phoneticPr fontId="1"/>
  </si>
  <si>
    <t xml:space="preserve">曲管４５°
 (曲り大) </t>
    <phoneticPr fontId="1"/>
  </si>
  <si>
    <t xml:space="preserve">曲管４５°
 (曲り小) </t>
    <rPh sb="10" eb="11">
      <t>ショウ</t>
    </rPh>
    <phoneticPr fontId="1"/>
  </si>
  <si>
    <t>mm</t>
    <phoneticPr fontId="1"/>
  </si>
  <si>
    <t>給水栓</t>
    <phoneticPr fontId="1"/>
  </si>
  <si>
    <t>1列</t>
    <rPh sb="1" eb="2">
      <t>レツ</t>
    </rPh>
    <phoneticPr fontId="1"/>
  </si>
  <si>
    <t>2列</t>
    <rPh sb="1" eb="2">
      <t>レツ</t>
    </rPh>
    <phoneticPr fontId="1"/>
  </si>
  <si>
    <t>3列</t>
    <rPh sb="1" eb="2">
      <t>レツ</t>
    </rPh>
    <phoneticPr fontId="1"/>
  </si>
  <si>
    <t>4列</t>
    <rPh sb="1" eb="2">
      <t>レツ</t>
    </rPh>
    <phoneticPr fontId="1"/>
  </si>
  <si>
    <t>5列</t>
    <rPh sb="1" eb="2">
      <t>レツ</t>
    </rPh>
    <phoneticPr fontId="1"/>
  </si>
  <si>
    <t>6列</t>
    <rPh sb="1" eb="2">
      <t>レツ</t>
    </rPh>
    <phoneticPr fontId="1"/>
  </si>
  <si>
    <t>7列</t>
    <rPh sb="1" eb="2">
      <t>レツ</t>
    </rPh>
    <phoneticPr fontId="1"/>
  </si>
  <si>
    <t>8列</t>
    <rPh sb="1" eb="2">
      <t>レツ</t>
    </rPh>
    <phoneticPr fontId="1"/>
  </si>
  <si>
    <t>9列</t>
    <rPh sb="1" eb="2">
      <t>レツ</t>
    </rPh>
    <phoneticPr fontId="1"/>
  </si>
  <si>
    <t>10列</t>
    <rPh sb="2" eb="3">
      <t>レツ</t>
    </rPh>
    <phoneticPr fontId="1"/>
  </si>
  <si>
    <t>11列</t>
    <rPh sb="2" eb="3">
      <t>レツ</t>
    </rPh>
    <phoneticPr fontId="1"/>
  </si>
  <si>
    <t>12列</t>
    <rPh sb="2" eb="3">
      <t>レツ</t>
    </rPh>
    <phoneticPr fontId="1"/>
  </si>
  <si>
    <t>13列</t>
    <rPh sb="2" eb="3">
      <t>レツ</t>
    </rPh>
    <phoneticPr fontId="1"/>
  </si>
  <si>
    <t>14列</t>
    <rPh sb="2" eb="3">
      <t>レツ</t>
    </rPh>
    <phoneticPr fontId="1"/>
  </si>
  <si>
    <t>15列</t>
    <rPh sb="2" eb="3">
      <t>レツ</t>
    </rPh>
    <phoneticPr fontId="1"/>
  </si>
  <si>
    <r>
      <t>種別 ＼ 口径</t>
    </r>
    <r>
      <rPr>
        <sz val="10.5"/>
        <color rgb="FF000000"/>
        <rFont val="HG丸ｺﾞｼｯｸM-PRO"/>
        <family val="3"/>
        <charset val="128"/>
      </rPr>
      <t xml:space="preserve"> </t>
    </r>
  </si>
  <si>
    <t xml:space="preserve">分 岐       ( 直 流 ) </t>
  </si>
  <si>
    <t xml:space="preserve">分 岐       ( 分 流 ) </t>
  </si>
  <si>
    <t xml:space="preserve">逆止弁付止水栓 </t>
  </si>
  <si>
    <t xml:space="preserve">逆止弁 </t>
    <phoneticPr fontId="1"/>
  </si>
  <si>
    <r>
      <t>甲 型 
止水栓</t>
    </r>
    <r>
      <rPr>
        <sz val="10.5"/>
        <color rgb="FF000000"/>
        <rFont val="HG丸ｺﾞｼｯｸM-PRO"/>
        <family val="3"/>
        <charset val="128"/>
      </rPr>
      <t xml:space="preserve"> </t>
    </r>
    <phoneticPr fontId="1"/>
  </si>
  <si>
    <t xml:space="preserve">       ス ル ー ス 弁 </t>
    <phoneticPr fontId="1"/>
  </si>
  <si>
    <t xml:space="preserve">メ       ー タ </t>
  </si>
  <si>
    <t xml:space="preserve">曲管９０°(曲り小) </t>
  </si>
  <si>
    <t xml:space="preserve">曲管４５°(曲り大) </t>
  </si>
  <si>
    <t xml:space="preserve">曲管４５°(曲り小) </t>
  </si>
  <si>
    <t>16列</t>
    <rPh sb="2" eb="3">
      <t>レツ</t>
    </rPh>
    <phoneticPr fontId="1"/>
  </si>
  <si>
    <t xml:space="preserve">異 形 接 合 </t>
    <phoneticPr fontId="1"/>
  </si>
  <si>
    <t xml:space="preserve">エルボ
９０° </t>
    <phoneticPr fontId="1"/>
  </si>
  <si>
    <t xml:space="preserve">エルボ
４５° </t>
    <phoneticPr fontId="1"/>
  </si>
  <si>
    <t>配水管高</t>
    <rPh sb="0" eb="3">
      <t>ハイスイカン</t>
    </rPh>
    <rPh sb="3" eb="4">
      <t>タカ</t>
    </rPh>
    <phoneticPr fontId="1"/>
  </si>
  <si>
    <t>～</t>
  </si>
  <si>
    <t>＊φ50　ウェストン公式    φ75　へーゼン・ウィリアムズ公式(C=130)</t>
    <phoneticPr fontId="1"/>
  </si>
  <si>
    <t>×</t>
  </si>
  <si>
    <t>戸数</t>
    <rPh sb="0" eb="2">
      <t>コスウ</t>
    </rPh>
    <phoneticPr fontId="1"/>
  </si>
  <si>
    <t>係数</t>
    <rPh sb="0" eb="2">
      <t>ケイスウ</t>
    </rPh>
    <phoneticPr fontId="1"/>
  </si>
  <si>
    <t>表３.４.２ 同時使用戸数率</t>
    <phoneticPr fontId="1"/>
  </si>
  <si>
    <t>圧力水頭</t>
    <rPh sb="0" eb="2">
      <t>アツリョク</t>
    </rPh>
    <rPh sb="2" eb="4">
      <t>スイトウ</t>
    </rPh>
    <phoneticPr fontId="1"/>
  </si>
  <si>
    <t>４階高</t>
    <rPh sb="1" eb="2">
      <t>カイ</t>
    </rPh>
    <rPh sb="2" eb="3">
      <t>タカ</t>
    </rPh>
    <phoneticPr fontId="1"/>
  </si>
  <si>
    <t>３階高</t>
    <rPh sb="1" eb="2">
      <t>カイ</t>
    </rPh>
    <rPh sb="2" eb="3">
      <t>タカ</t>
    </rPh>
    <phoneticPr fontId="1"/>
  </si>
  <si>
    <t>２階高</t>
    <rPh sb="1" eb="2">
      <t>カイ</t>
    </rPh>
    <rPh sb="2" eb="3">
      <t>タカ</t>
    </rPh>
    <phoneticPr fontId="1"/>
  </si>
  <si>
    <t>１階高</t>
    <rPh sb="1" eb="2">
      <t>カイ</t>
    </rPh>
    <rPh sb="2" eb="3">
      <t>タカ</t>
    </rPh>
    <phoneticPr fontId="1"/>
  </si>
  <si>
    <t>- (</t>
    <phoneticPr fontId="1"/>
  </si>
  <si>
    <t>+</t>
    <phoneticPr fontId="1"/>
  </si>
  <si>
    <t>)</t>
    <phoneticPr fontId="1"/>
  </si>
  <si>
    <t>＝</t>
    <phoneticPr fontId="1"/>
  </si>
  <si>
    <t>判定    =</t>
    <rPh sb="0" eb="2">
      <t>ハンテイ</t>
    </rPh>
    <phoneticPr fontId="1"/>
  </si>
  <si>
    <t>（様式第9号）</t>
    <rPh sb="1" eb="3">
      <t>ヨウシキ</t>
    </rPh>
    <rPh sb="3" eb="4">
      <t>ダイ</t>
    </rPh>
    <rPh sb="5" eb="6">
      <t>ゴウ</t>
    </rPh>
    <phoneticPr fontId="1"/>
  </si>
  <si>
    <t>（あて先）</t>
    <rPh sb="3" eb="4">
      <t>サキ</t>
    </rPh>
    <phoneticPr fontId="1"/>
  </si>
  <si>
    <t>八尾市水道事業管理者</t>
    <rPh sb="0" eb="3">
      <t>ヤオシ</t>
    </rPh>
    <rPh sb="3" eb="5">
      <t>スイドウ</t>
    </rPh>
    <rPh sb="5" eb="7">
      <t>ジギョウ</t>
    </rPh>
    <rPh sb="7" eb="10">
      <t>カンリシャ</t>
    </rPh>
    <phoneticPr fontId="1"/>
  </si>
  <si>
    <t>１．工事場所</t>
    <rPh sb="2" eb="4">
      <t>コウジ</t>
    </rPh>
    <rPh sb="4" eb="6">
      <t>バショ</t>
    </rPh>
    <phoneticPr fontId="1"/>
  </si>
  <si>
    <t>２．給水装置工事申込者</t>
    <rPh sb="2" eb="4">
      <t>キュウスイ</t>
    </rPh>
    <rPh sb="4" eb="6">
      <t>ソウチ</t>
    </rPh>
    <rPh sb="6" eb="8">
      <t>コウジ</t>
    </rPh>
    <rPh sb="8" eb="9">
      <t>モウ</t>
    </rPh>
    <rPh sb="9" eb="10">
      <t>コ</t>
    </rPh>
    <rPh sb="10" eb="11">
      <t>シャ</t>
    </rPh>
    <phoneticPr fontId="1"/>
  </si>
  <si>
    <t>指定給水装置工事事業者</t>
    <rPh sb="0" eb="2">
      <t>シテイ</t>
    </rPh>
    <rPh sb="2" eb="4">
      <t>キュウスイ</t>
    </rPh>
    <rPh sb="4" eb="6">
      <t>ソウチ</t>
    </rPh>
    <rPh sb="6" eb="8">
      <t>コウジ</t>
    </rPh>
    <rPh sb="8" eb="11">
      <t>ジギョウシャ</t>
    </rPh>
    <phoneticPr fontId="1"/>
  </si>
  <si>
    <t>水　　理　　計　　算　　書</t>
    <rPh sb="0" eb="1">
      <t>スイ</t>
    </rPh>
    <rPh sb="3" eb="4">
      <t>リ</t>
    </rPh>
    <rPh sb="6" eb="7">
      <t>ケイ</t>
    </rPh>
    <rPh sb="9" eb="10">
      <t>サン</t>
    </rPh>
    <rPh sb="12" eb="13">
      <t>ショ</t>
    </rPh>
    <phoneticPr fontId="1"/>
  </si>
  <si>
    <t>設計水圧</t>
    <rPh sb="0" eb="4">
      <t>セッケイスイアツ</t>
    </rPh>
    <phoneticPr fontId="1"/>
  </si>
  <si>
    <t>0.196MPa</t>
    <phoneticPr fontId="1"/>
  </si>
  <si>
    <t>表３.５.１　設計水圧表</t>
    <rPh sb="0" eb="1">
      <t>ヒョウ</t>
    </rPh>
    <rPh sb="7" eb="9">
      <t>セッケイ</t>
    </rPh>
    <rPh sb="9" eb="11">
      <t>スイアツ</t>
    </rPh>
    <rPh sb="11" eb="12">
      <t>ヒョウ</t>
    </rPh>
    <phoneticPr fontId="1"/>
  </si>
  <si>
    <t>最小動水圧</t>
    <rPh sb="0" eb="2">
      <t>サイショウ</t>
    </rPh>
    <rPh sb="2" eb="3">
      <t>ドウ</t>
    </rPh>
    <rPh sb="3" eb="5">
      <t>スイアツ</t>
    </rPh>
    <phoneticPr fontId="1"/>
  </si>
  <si>
    <t>設計水圧</t>
    <rPh sb="0" eb="2">
      <t>セッケイ</t>
    </rPh>
    <rPh sb="2" eb="4">
      <t>スイアツ</t>
    </rPh>
    <phoneticPr fontId="1"/>
  </si>
  <si>
    <t>0.245Mpa</t>
    <phoneticPr fontId="1"/>
  </si>
  <si>
    <t>0.147MPa</t>
    <phoneticPr fontId="1"/>
  </si>
  <si>
    <t>m</t>
    <phoneticPr fontId="1"/>
  </si>
  <si>
    <t>Mpa</t>
    <phoneticPr fontId="1"/>
  </si>
  <si>
    <t>0.196Mpa</t>
  </si>
  <si>
    <t>～</t>
    <phoneticPr fontId="1"/>
  </si>
  <si>
    <t>※使用前に必ずお読みください。</t>
    <rPh sb="1" eb="3">
      <t>シヨウ</t>
    </rPh>
    <rPh sb="3" eb="4">
      <t>マエ</t>
    </rPh>
    <rPh sb="5" eb="6">
      <t>カナラ</t>
    </rPh>
    <rPh sb="8" eb="9">
      <t>ヨ</t>
    </rPh>
    <phoneticPr fontId="1"/>
  </si>
  <si>
    <t>水理計算ツール（直結直圧用）【取扱説明書】</t>
    <rPh sb="0" eb="2">
      <t>スイリ</t>
    </rPh>
    <rPh sb="2" eb="4">
      <t>ケイサン</t>
    </rPh>
    <rPh sb="8" eb="10">
      <t>チョッケツ</t>
    </rPh>
    <rPh sb="10" eb="11">
      <t>チョク</t>
    </rPh>
    <rPh sb="11" eb="12">
      <t>アツ</t>
    </rPh>
    <rPh sb="12" eb="13">
      <t>ヨウ</t>
    </rPh>
    <rPh sb="15" eb="16">
      <t>ト</t>
    </rPh>
    <rPh sb="16" eb="17">
      <t>アツカ</t>
    </rPh>
    <rPh sb="17" eb="20">
      <t>セツメイショ</t>
    </rPh>
    <phoneticPr fontId="1"/>
  </si>
  <si>
    <t>※A3サイズにて印刷すること。</t>
    <rPh sb="8" eb="10">
      <t>インサツ</t>
    </rPh>
    <phoneticPr fontId="1"/>
  </si>
  <si>
    <t>②水理計算書の作成（損失水頭の計算）
・区間、口径、流量、器具換算長の着色部分を入力します。
・口径はドロップダウンリストから選択してください。（φ１３～φ２００）
・φ１３～φ５０はウェストン公式、φ７５～φ２００はへーゼン・ウィリアウムズ公式（C=１３０）を
　使用しています。</t>
    <rPh sb="1" eb="3">
      <t>スイリ</t>
    </rPh>
    <rPh sb="3" eb="5">
      <t>ケイサン</t>
    </rPh>
    <rPh sb="5" eb="6">
      <t>ショ</t>
    </rPh>
    <rPh sb="7" eb="9">
      <t>サクセイ</t>
    </rPh>
    <rPh sb="10" eb="12">
      <t>ソンシツ</t>
    </rPh>
    <rPh sb="12" eb="14">
      <t>スイトウ</t>
    </rPh>
    <rPh sb="15" eb="17">
      <t>ケイサン</t>
    </rPh>
    <rPh sb="20" eb="22">
      <t>クカン</t>
    </rPh>
    <rPh sb="23" eb="25">
      <t>コウケイ</t>
    </rPh>
    <rPh sb="26" eb="28">
      <t>リュウリョウ</t>
    </rPh>
    <rPh sb="29" eb="31">
      <t>キグ</t>
    </rPh>
    <rPh sb="31" eb="33">
      <t>カンサン</t>
    </rPh>
    <rPh sb="33" eb="34">
      <t>チョウ</t>
    </rPh>
    <rPh sb="35" eb="37">
      <t>チャクショク</t>
    </rPh>
    <rPh sb="37" eb="39">
      <t>ブブン</t>
    </rPh>
    <rPh sb="40" eb="42">
      <t>ニュウリョク</t>
    </rPh>
    <rPh sb="48" eb="50">
      <t>コウケイ</t>
    </rPh>
    <rPh sb="63" eb="65">
      <t>センタク</t>
    </rPh>
    <rPh sb="97" eb="99">
      <t>コウシキ</t>
    </rPh>
    <rPh sb="121" eb="123">
      <t>コウシキ</t>
    </rPh>
    <rPh sb="133" eb="135">
      <t>シヨウ</t>
    </rPh>
    <phoneticPr fontId="1"/>
  </si>
  <si>
    <t>Ver.1</t>
    <phoneticPr fontId="1"/>
  </si>
  <si>
    <t>2021.08.16</t>
    <phoneticPr fontId="1"/>
  </si>
  <si>
    <t xml:space="preserve">●使用方法
</t>
    <rPh sb="1" eb="3">
      <t>シヨウ</t>
    </rPh>
    <rPh sb="3" eb="5">
      <t>ホウホウ</t>
    </rPh>
    <phoneticPr fontId="1"/>
  </si>
  <si>
    <t>●環境
　このツールは、下記の環境において、動作確認を行っておりますが、他の環境下では、正常に作動しない可能性があります。
　　　　Microsoft® Windows10 Pro
　　　　Microsoft® Excel  2016</t>
    <rPh sb="1" eb="3">
      <t>カンキョウ</t>
    </rPh>
    <rPh sb="13" eb="15">
      <t>カキ</t>
    </rPh>
    <rPh sb="16" eb="18">
      <t>カンキョウ</t>
    </rPh>
    <rPh sb="23" eb="25">
      <t>ドウサ</t>
    </rPh>
    <rPh sb="25" eb="27">
      <t>カクニン</t>
    </rPh>
    <rPh sb="28" eb="29">
      <t>オコナ</t>
    </rPh>
    <rPh sb="37" eb="38">
      <t>タ</t>
    </rPh>
    <rPh sb="39" eb="42">
      <t>カンキョウカ</t>
    </rPh>
    <rPh sb="45" eb="47">
      <t>セイジョウ</t>
    </rPh>
    <rPh sb="48" eb="50">
      <t>サドウ</t>
    </rPh>
    <rPh sb="53" eb="56">
      <t>カノウセイ</t>
    </rPh>
    <phoneticPr fontId="1"/>
  </si>
  <si>
    <t xml:space="preserve">●はじめに
　このツールは、八尾市水道局が、給水装置工事施行基準（八尾市水道局）に準拠した水理計算を行う際の参考資料として配布するものです。
　また、このツールの使用による算出不良、パソコン等ＯＡ機器の故障やトラブルが発生した場合について、八尾市水道局は一切の責任を負いませんので、ご了承願います。
　なお、エクセルの基本操作等については、指導致しかねます。
</t>
    <phoneticPr fontId="1"/>
  </si>
  <si>
    <t>①基本情報の入力
・工事場所、給水装置工事申込者、指定給水装置工事事業者を入力します。</t>
    <rPh sb="1" eb="3">
      <t>キホン</t>
    </rPh>
    <rPh sb="3" eb="5">
      <t>ジョウホウ</t>
    </rPh>
    <rPh sb="6" eb="8">
      <t>ニュウリョク</t>
    </rPh>
    <rPh sb="10" eb="12">
      <t>コウジ</t>
    </rPh>
    <rPh sb="12" eb="14">
      <t>バショ</t>
    </rPh>
    <rPh sb="15" eb="17">
      <t>キュウスイ</t>
    </rPh>
    <rPh sb="17" eb="19">
      <t>ソウチ</t>
    </rPh>
    <rPh sb="19" eb="21">
      <t>コウジ</t>
    </rPh>
    <rPh sb="21" eb="22">
      <t>モウ</t>
    </rPh>
    <rPh sb="22" eb="23">
      <t>コ</t>
    </rPh>
    <rPh sb="23" eb="24">
      <t>シャ</t>
    </rPh>
    <rPh sb="25" eb="27">
      <t>シテイ</t>
    </rPh>
    <rPh sb="27" eb="29">
      <t>キュウスイ</t>
    </rPh>
    <rPh sb="29" eb="31">
      <t>ソウチ</t>
    </rPh>
    <rPh sb="31" eb="33">
      <t>コウジ</t>
    </rPh>
    <rPh sb="33" eb="36">
      <t>ジギョウシャ</t>
    </rPh>
    <rPh sb="37" eb="39">
      <t>ニュウリョク</t>
    </rPh>
    <phoneticPr fontId="1"/>
  </si>
  <si>
    <t>※シートは保護していますので、入力欄（着色セル）以外の操作はできません。</t>
    <rPh sb="19" eb="21">
      <t>チャクショク</t>
    </rPh>
    <phoneticPr fontId="1"/>
  </si>
  <si>
    <t>③水理計算書の作成（有効水頭の確認、判定）
・設計水圧をドロップダウンリストから選択してください。
・設計水圧は0.196MPaを標準とします。（0.147MPa、0.245MPaは別途協議が必要）
・配水管高を入力します。
・判定が「OK！」であれば、完成です。
・区間については、流量もしくは口径の変化点で設定してください。</t>
    <rPh sb="10" eb="12">
      <t>ユウコウ</t>
    </rPh>
    <rPh sb="12" eb="14">
      <t>スイトウ</t>
    </rPh>
    <rPh sb="15" eb="17">
      <t>カクニン</t>
    </rPh>
    <rPh sb="18" eb="20">
      <t>ハンテイ</t>
    </rPh>
    <rPh sb="23" eb="25">
      <t>セッケイ</t>
    </rPh>
    <rPh sb="25" eb="27">
      <t>スイアツ</t>
    </rPh>
    <rPh sb="40" eb="42">
      <t>センタク</t>
    </rPh>
    <rPh sb="51" eb="53">
      <t>セッケイ</t>
    </rPh>
    <rPh sb="53" eb="55">
      <t>スイアツ</t>
    </rPh>
    <rPh sb="91" eb="93">
      <t>ベット</t>
    </rPh>
    <rPh sb="93" eb="95">
      <t>キョウギ</t>
    </rPh>
    <rPh sb="96" eb="98">
      <t>ヒツヨウ</t>
    </rPh>
    <rPh sb="101" eb="104">
      <t>ハイスイカン</t>
    </rPh>
    <rPh sb="104" eb="105">
      <t>タカ</t>
    </rPh>
    <rPh sb="106" eb="108">
      <t>ニュウリョク</t>
    </rPh>
    <rPh sb="114" eb="116">
      <t>ハンテイ</t>
    </rPh>
    <rPh sb="127" eb="129">
      <t>カンセイ</t>
    </rPh>
    <rPh sb="134" eb="136">
      <t>クカン</t>
    </rPh>
    <rPh sb="142" eb="144">
      <t>リュウリョウ</t>
    </rPh>
    <rPh sb="148" eb="150">
      <t>コウケイ</t>
    </rPh>
    <rPh sb="151" eb="153">
      <t>ヘンカ</t>
    </rPh>
    <rPh sb="153" eb="154">
      <t>テン</t>
    </rPh>
    <rPh sb="155" eb="157">
      <t>セッテイ</t>
    </rPh>
    <phoneticPr fontId="1"/>
  </si>
  <si>
    <t>●注意事項
　このツールを使用して作成した資料を、八尾市水道局以外での協議資料として使用しないでください。また、不具合等を発見した場合は、次の配布元まで連絡願います。
●配布元
　八尾市水道局　施設整備課　給水係　　　
　TEL　：　０７２－９２３－６３０８</t>
    <rPh sb="1" eb="3">
      <t>チュウイ</t>
    </rPh>
    <rPh sb="3" eb="5">
      <t>ジコウ</t>
    </rPh>
    <rPh sb="14" eb="16">
      <t>シヨウ</t>
    </rPh>
    <rPh sb="18" eb="20">
      <t>サクセイ</t>
    </rPh>
    <rPh sb="22" eb="24">
      <t>シリョウ</t>
    </rPh>
    <rPh sb="26" eb="29">
      <t>ヤオシ</t>
    </rPh>
    <rPh sb="29" eb="32">
      <t>スイドウキョク</t>
    </rPh>
    <rPh sb="32" eb="34">
      <t>イガイ</t>
    </rPh>
    <rPh sb="36" eb="38">
      <t>キョウギ</t>
    </rPh>
    <rPh sb="38" eb="40">
      <t>シリョウ</t>
    </rPh>
    <rPh sb="43" eb="45">
      <t>シヨウ</t>
    </rPh>
    <rPh sb="57" eb="60">
      <t>フグアイ</t>
    </rPh>
    <rPh sb="60" eb="61">
      <t>トウ</t>
    </rPh>
    <rPh sb="62" eb="64">
      <t>ハッケン</t>
    </rPh>
    <rPh sb="66" eb="68">
      <t>バアイ</t>
    </rPh>
    <rPh sb="70" eb="71">
      <t>ツギ</t>
    </rPh>
    <rPh sb="72" eb="74">
      <t>ハイフ</t>
    </rPh>
    <rPh sb="74" eb="75">
      <t>モト</t>
    </rPh>
    <rPh sb="77" eb="80">
      <t>レンラクネガ</t>
    </rPh>
    <rPh sb="87" eb="89">
      <t>ハイフ</t>
    </rPh>
    <rPh sb="89" eb="90">
      <t>モト</t>
    </rPh>
    <rPh sb="93" eb="96">
      <t>ヤオシ</t>
    </rPh>
    <rPh sb="96" eb="99">
      <t>スイドウキョク</t>
    </rPh>
    <rPh sb="100" eb="102">
      <t>シセツ</t>
    </rPh>
    <rPh sb="102" eb="104">
      <t>セイビ</t>
    </rPh>
    <rPh sb="104" eb="105">
      <t>カ</t>
    </rPh>
    <rPh sb="106" eb="108">
      <t>キュウスイ</t>
    </rPh>
    <rPh sb="108" eb="109">
      <t>カカリ</t>
    </rPh>
    <phoneticPr fontId="1"/>
  </si>
  <si>
    <t>給水高の判定</t>
    <rPh sb="0" eb="2">
      <t>キュウスイ</t>
    </rPh>
    <rPh sb="2" eb="3">
      <t>タカ</t>
    </rPh>
    <rPh sb="4" eb="6">
      <t>ハンテイ</t>
    </rPh>
    <phoneticPr fontId="1"/>
  </si>
  <si>
    <t>流速の判定</t>
    <rPh sb="0" eb="2">
      <t>リュウソク</t>
    </rPh>
    <rPh sb="3" eb="5">
      <t>ハンテイ</t>
    </rPh>
    <phoneticPr fontId="1"/>
  </si>
  <si>
    <t>器具換算延長(ｍ) 　　　　[※器具数は整数で入力すること]</t>
    <rPh sb="0" eb="2">
      <t>キグ</t>
    </rPh>
    <rPh sb="2" eb="4">
      <t>カンザン</t>
    </rPh>
    <rPh sb="4" eb="6">
      <t>エンチョウ</t>
    </rPh>
    <rPh sb="16" eb="18">
      <t>キグ</t>
    </rPh>
    <rPh sb="18" eb="19">
      <t>スウ</t>
    </rPh>
    <rPh sb="20" eb="22">
      <t>セイスウ</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</si>
</sst>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0.0\)"/>
    <numFmt numFmtId="177" formatCode="0_);\(0\)"/>
    <numFmt numFmtId="178" formatCode="0.00_);\(0.00\)"/>
    <numFmt numFmtId="179" formatCode="0.00_ "/>
  </numFmts>
  <fonts count="2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5"/>
      <color rgb="FF000000"/>
      <name val="ＭＳ 明朝"/>
      <family val="1"/>
      <charset val="128"/>
    </font>
    <font>
      <sz val="10.5"/>
      <color rgb="FF000000"/>
      <name val="Century"/>
      <family val="1"/>
    </font>
    <font>
      <sz val="11"/>
      <color theme="1"/>
      <name val="HG丸ｺﾞｼｯｸM-PRO"/>
      <family val="3"/>
      <charset val="128"/>
    </font>
    <font>
      <sz val="9"/>
      <color rgb="FF000000"/>
      <name val="HG丸ｺﾞｼｯｸM-PRO"/>
      <family val="3"/>
      <charset val="128"/>
    </font>
    <font>
      <sz val="10.5"/>
      <color rgb="FF000000"/>
      <name val="HG丸ｺﾞｼｯｸM-PRO"/>
      <family val="3"/>
      <charset val="128"/>
    </font>
    <font>
      <sz val="8"/>
      <color rgb="FF000000"/>
      <name val="HG丸ｺﾞｼｯｸM-PRO"/>
      <family val="3"/>
      <charset val="128"/>
    </font>
    <font>
      <sz val="16"/>
      <color theme="1"/>
      <name val="ＭＳ Ｐゴシック"/>
      <family val="3"/>
      <charset val="128"/>
      <scheme val="minor"/>
    </font>
    <font>
      <b/>
      <sz val="14"/>
      <color rgb="FFFF0000"/>
      <name val="ＭＳ Ｐゴシック"/>
      <family val="3"/>
      <charset val="128"/>
      <scheme val="minor"/>
    </font>
    <font>
      <sz val="18"/>
      <color theme="1"/>
      <name val="ＭＳ Ｐゴシック"/>
      <family val="2"/>
      <charset val="128"/>
      <scheme val="minor"/>
    </font>
    <font>
      <sz val="22"/>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b/>
      <sz val="18"/>
      <color theme="1"/>
      <name val="ＭＳ Ｐゴシック"/>
      <family val="3"/>
      <charset val="128"/>
      <scheme val="minor"/>
    </font>
    <font>
      <b/>
      <sz val="2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bottom style="thin">
        <color auto="1"/>
      </bottom>
      <diagonal/>
    </border>
    <border>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bottom style="thin">
        <color auto="1"/>
      </bottom>
      <diagonal/>
    </border>
    <border>
      <left style="medium">
        <color auto="1"/>
      </left>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s>
  <cellStyleXfs count="1">
    <xf numFmtId="0" fontId="0" fillId="0" borderId="0">
      <alignment vertical="center"/>
    </xf>
  </cellStyleXfs>
  <cellXfs count="216">
    <xf numFmtId="0" fontId="0" fillId="0" borderId="0" xfId="0">
      <alignment vertical="center"/>
    </xf>
    <xf numFmtId="178" fontId="0" fillId="0" borderId="0" xfId="0" applyNumberFormat="1">
      <alignment vertical="center"/>
    </xf>
    <xf numFmtId="0" fontId="0" fillId="0" borderId="0" xfId="0" applyAlignment="1">
      <alignment horizontal="center" vertical="center"/>
    </xf>
    <xf numFmtId="2" fontId="0" fillId="0" borderId="0" xfId="0" applyNumberFormat="1">
      <alignment vertical="center"/>
    </xf>
    <xf numFmtId="0" fontId="3" fillId="0" borderId="23" xfId="0" applyFont="1" applyBorder="1" applyAlignment="1">
      <alignment vertical="center"/>
    </xf>
    <xf numFmtId="0" fontId="3" fillId="0" borderId="0" xfId="0" applyFont="1">
      <alignment vertical="center"/>
    </xf>
    <xf numFmtId="2" fontId="3" fillId="0" borderId="0" xfId="0" applyNumberFormat="1" applyFont="1">
      <alignment vertical="center"/>
    </xf>
    <xf numFmtId="178" fontId="3" fillId="0" borderId="0" xfId="0" applyNumberFormat="1" applyFont="1" applyBorder="1">
      <alignment vertical="center"/>
    </xf>
    <xf numFmtId="0" fontId="3" fillId="0" borderId="0" xfId="0" applyFont="1" applyBorder="1" applyAlignment="1">
      <alignment horizontal="left" vertical="center"/>
    </xf>
    <xf numFmtId="0" fontId="2" fillId="0" borderId="0" xfId="0" applyFont="1">
      <alignment vertical="center"/>
    </xf>
    <xf numFmtId="0" fontId="2" fillId="0" borderId="0" xfId="0" applyFont="1" applyBorder="1" applyAlignment="1">
      <alignment horizontal="left" vertical="center"/>
    </xf>
    <xf numFmtId="2" fontId="2" fillId="0" borderId="0" xfId="0" applyNumberFormat="1" applyFont="1">
      <alignment vertical="center"/>
    </xf>
    <xf numFmtId="0" fontId="3" fillId="0" borderId="3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0" fillId="0" borderId="0" xfId="0" applyFill="1">
      <alignment vertical="center"/>
    </xf>
    <xf numFmtId="0" fontId="3" fillId="0" borderId="0" xfId="0" applyFont="1" applyFill="1" applyBorder="1" applyAlignment="1">
      <alignment horizontal="left" vertical="center"/>
    </xf>
    <xf numFmtId="0" fontId="3" fillId="0" borderId="23" xfId="0" applyFont="1" applyBorder="1" applyAlignment="1">
      <alignment horizontal="center" vertical="center"/>
    </xf>
    <xf numFmtId="0" fontId="0" fillId="0" borderId="0" xfId="0" applyAlignment="1">
      <alignment horizontal="center" vertical="center"/>
    </xf>
    <xf numFmtId="0" fontId="2" fillId="0" borderId="22" xfId="0" applyFont="1" applyBorder="1" applyAlignment="1">
      <alignment horizontal="center" vertical="center"/>
    </xf>
    <xf numFmtId="178" fontId="3" fillId="0" borderId="35" xfId="0" applyNumberFormat="1"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178" fontId="3" fillId="0" borderId="0" xfId="0" applyNumberFormat="1" applyFont="1" applyBorder="1" applyAlignment="1">
      <alignment horizontal="center" vertical="center"/>
    </xf>
    <xf numFmtId="0" fontId="11" fillId="0" borderId="39"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13" fillId="0" borderId="0" xfId="0" applyFont="1">
      <alignment vertical="center"/>
    </xf>
    <xf numFmtId="0" fontId="13" fillId="0" borderId="0" xfId="0" applyFont="1" applyFill="1">
      <alignment vertical="center"/>
    </xf>
    <xf numFmtId="0" fontId="15" fillId="0" borderId="0" xfId="0" applyFont="1">
      <alignment vertical="center"/>
    </xf>
    <xf numFmtId="0" fontId="15" fillId="0" borderId="0" xfId="0" applyFont="1" applyFill="1">
      <alignment vertical="center"/>
    </xf>
    <xf numFmtId="0" fontId="16" fillId="0" borderId="0" xfId="0" applyFont="1">
      <alignment vertical="center"/>
    </xf>
    <xf numFmtId="0" fontId="13" fillId="0" borderId="0" xfId="0" applyFont="1" applyAlignment="1">
      <alignment horizontal="center" vertical="center"/>
    </xf>
    <xf numFmtId="0" fontId="0" fillId="0" borderId="0" xfId="0" applyAlignment="1">
      <alignment horizontal="left" vertical="center"/>
    </xf>
    <xf numFmtId="0" fontId="17" fillId="0" borderId="1" xfId="0" applyFont="1" applyBorder="1" applyAlignment="1">
      <alignment horizontal="center" vertical="center"/>
    </xf>
    <xf numFmtId="0" fontId="0" fillId="0" borderId="1" xfId="0" applyBorder="1" applyAlignment="1">
      <alignment horizontal="left" vertical="center"/>
    </xf>
    <xf numFmtId="0" fontId="3" fillId="2" borderId="1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vertical="top" wrapText="1"/>
    </xf>
    <xf numFmtId="0" fontId="20" fillId="0" borderId="43" xfId="0" applyFont="1" applyBorder="1">
      <alignment vertical="center"/>
    </xf>
    <xf numFmtId="0" fontId="3" fillId="2" borderId="44" xfId="0" applyFont="1" applyFill="1" applyBorder="1" applyProtection="1">
      <alignment vertical="center"/>
      <protection locked="0"/>
    </xf>
    <xf numFmtId="0" fontId="3" fillId="0" borderId="45" xfId="0" applyFont="1" applyBorder="1" applyAlignment="1">
      <alignment horizontal="center" vertical="center"/>
    </xf>
    <xf numFmtId="0" fontId="3" fillId="2" borderId="45" xfId="0" applyFont="1" applyFill="1" applyBorder="1" applyProtection="1">
      <alignment vertical="center"/>
      <protection locked="0"/>
    </xf>
    <xf numFmtId="0" fontId="3" fillId="0" borderId="45" xfId="0" applyFont="1" applyBorder="1">
      <alignment vertical="center"/>
    </xf>
    <xf numFmtId="0" fontId="3" fillId="0" borderId="45" xfId="0" applyFont="1" applyFill="1" applyBorder="1">
      <alignment vertical="center"/>
    </xf>
    <xf numFmtId="176" fontId="3" fillId="0" borderId="46" xfId="0" applyNumberFormat="1" applyFont="1" applyBorder="1">
      <alignment vertical="center"/>
    </xf>
    <xf numFmtId="176" fontId="3" fillId="0" borderId="44" xfId="0" applyNumberFormat="1" applyFont="1" applyFill="1" applyBorder="1">
      <alignment vertical="center"/>
    </xf>
    <xf numFmtId="177" fontId="3" fillId="2" borderId="45" xfId="0" applyNumberFormat="1" applyFont="1" applyFill="1" applyBorder="1" applyProtection="1">
      <alignment vertical="center"/>
      <protection locked="0"/>
    </xf>
    <xf numFmtId="177" fontId="3" fillId="2" borderId="46" xfId="0" applyNumberFormat="1" applyFont="1" applyFill="1" applyBorder="1" applyProtection="1">
      <alignment vertical="center"/>
      <protection locked="0"/>
    </xf>
    <xf numFmtId="0" fontId="3" fillId="0" borderId="48" xfId="0" applyFont="1" applyBorder="1">
      <alignment vertical="center"/>
    </xf>
    <xf numFmtId="0" fontId="3" fillId="0" borderId="49" xfId="0" applyFont="1" applyBorder="1" applyAlignment="1">
      <alignment horizontal="center" vertical="center"/>
    </xf>
    <xf numFmtId="0" fontId="3" fillId="0" borderId="49" xfId="0" applyFont="1" applyBorder="1">
      <alignment vertical="center"/>
    </xf>
    <xf numFmtId="0" fontId="3" fillId="0" borderId="49" xfId="0" applyFont="1" applyFill="1" applyBorder="1">
      <alignment vertical="center"/>
    </xf>
    <xf numFmtId="176" fontId="4" fillId="0" borderId="50" xfId="0" applyNumberFormat="1" applyFont="1" applyBorder="1">
      <alignment vertical="center"/>
    </xf>
    <xf numFmtId="176" fontId="3" fillId="2" borderId="49" xfId="0" applyNumberFormat="1" applyFont="1" applyFill="1" applyBorder="1" applyProtection="1">
      <alignment vertical="center"/>
      <protection locked="0"/>
    </xf>
    <xf numFmtId="0" fontId="4" fillId="2" borderId="52" xfId="0" applyFont="1" applyFill="1" applyBorder="1" applyProtection="1">
      <alignment vertical="center"/>
      <protection locked="0"/>
    </xf>
    <xf numFmtId="0" fontId="4" fillId="0" borderId="53" xfId="0" applyFont="1" applyBorder="1" applyAlignment="1">
      <alignment horizontal="center" vertical="center"/>
    </xf>
    <xf numFmtId="0" fontId="4" fillId="2" borderId="53" xfId="0" applyFont="1" applyFill="1" applyBorder="1" applyProtection="1">
      <alignment vertical="center"/>
      <protection locked="0"/>
    </xf>
    <xf numFmtId="0" fontId="4" fillId="0" borderId="53" xfId="0" applyFont="1" applyBorder="1">
      <alignment vertical="center"/>
    </xf>
    <xf numFmtId="0" fontId="4" fillId="0" borderId="53" xfId="0" applyFont="1" applyFill="1" applyBorder="1">
      <alignment vertical="center"/>
    </xf>
    <xf numFmtId="176" fontId="4" fillId="0" borderId="54" xfId="0" applyNumberFormat="1" applyFont="1" applyBorder="1">
      <alignment vertical="center"/>
    </xf>
    <xf numFmtId="176" fontId="3" fillId="0" borderId="52" xfId="0" applyNumberFormat="1" applyFont="1" applyFill="1" applyBorder="1">
      <alignment vertical="center"/>
    </xf>
    <xf numFmtId="0" fontId="3" fillId="0" borderId="53" xfId="0" applyFont="1" applyBorder="1" applyAlignment="1">
      <alignment horizontal="center" vertical="center"/>
    </xf>
    <xf numFmtId="177" fontId="3" fillId="2" borderId="53" xfId="0" applyNumberFormat="1" applyFont="1" applyFill="1" applyBorder="1" applyProtection="1">
      <alignment vertical="center"/>
      <protection locked="0"/>
    </xf>
    <xf numFmtId="177" fontId="3" fillId="2" borderId="54" xfId="0" applyNumberFormat="1" applyFont="1" applyFill="1" applyBorder="1" applyProtection="1">
      <alignment vertical="center"/>
      <protection locked="0"/>
    </xf>
    <xf numFmtId="0" fontId="4" fillId="0" borderId="48" xfId="0" applyFont="1" applyBorder="1">
      <alignment vertical="center"/>
    </xf>
    <xf numFmtId="0" fontId="4" fillId="0" borderId="49" xfId="0" applyFont="1" applyBorder="1" applyAlignment="1">
      <alignment horizontal="center" vertical="center"/>
    </xf>
    <xf numFmtId="0" fontId="4" fillId="0" borderId="49" xfId="0" applyFont="1" applyBorder="1">
      <alignment vertical="center"/>
    </xf>
    <xf numFmtId="0" fontId="4" fillId="0" borderId="49" xfId="0" applyFont="1" applyFill="1" applyBorder="1">
      <alignment vertical="center"/>
    </xf>
    <xf numFmtId="176" fontId="4" fillId="2" borderId="49" xfId="0" applyNumberFormat="1" applyFont="1" applyFill="1" applyBorder="1" applyProtection="1">
      <alignment vertical="center"/>
      <protection locked="0"/>
    </xf>
    <xf numFmtId="0" fontId="3" fillId="2" borderId="52" xfId="0" applyFont="1" applyFill="1" applyBorder="1" applyProtection="1">
      <alignment vertical="center"/>
      <protection locked="0"/>
    </xf>
    <xf numFmtId="0" fontId="3" fillId="2" borderId="53" xfId="0" applyFont="1" applyFill="1" applyBorder="1" applyProtection="1">
      <alignment vertical="center"/>
      <protection locked="0"/>
    </xf>
    <xf numFmtId="0" fontId="3" fillId="0" borderId="53" xfId="0" applyFont="1" applyBorder="1">
      <alignment vertical="center"/>
    </xf>
    <xf numFmtId="0" fontId="3" fillId="0" borderId="53" xfId="0" applyFont="1" applyFill="1" applyBorder="1">
      <alignment vertical="center"/>
    </xf>
    <xf numFmtId="176" fontId="3" fillId="0" borderId="54" xfId="0" applyNumberFormat="1" applyFont="1" applyBorder="1">
      <alignment vertical="center"/>
    </xf>
    <xf numFmtId="0" fontId="3" fillId="0" borderId="56" xfId="0" applyFont="1" applyBorder="1">
      <alignment vertical="center"/>
    </xf>
    <xf numFmtId="0" fontId="3" fillId="0" borderId="57" xfId="0" applyFont="1" applyBorder="1">
      <alignment vertical="center"/>
    </xf>
    <xf numFmtId="176" fontId="3" fillId="0" borderId="58" xfId="0" applyNumberFormat="1" applyFont="1" applyBorder="1">
      <alignment vertical="center"/>
    </xf>
    <xf numFmtId="176" fontId="3" fillId="2" borderId="57" xfId="0" applyNumberFormat="1" applyFont="1" applyFill="1" applyBorder="1" applyProtection="1">
      <alignment vertical="center"/>
      <protection locked="0"/>
    </xf>
    <xf numFmtId="0" fontId="3" fillId="0" borderId="0" xfId="0" applyFont="1" applyAlignment="1">
      <alignment horizontal="center" vertical="center"/>
    </xf>
    <xf numFmtId="2" fontId="3" fillId="0" borderId="0" xfId="0" applyNumberFormat="1" applyFont="1" applyAlignment="1">
      <alignment horizontal="center" vertical="center"/>
    </xf>
    <xf numFmtId="2" fontId="21" fillId="0" borderId="0" xfId="0" applyNumberFormat="1" applyFont="1" applyAlignment="1">
      <alignment horizontal="center" vertical="center"/>
    </xf>
    <xf numFmtId="2" fontId="3"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xf>
    <xf numFmtId="0" fontId="19" fillId="0" borderId="0" xfId="0" applyFont="1" applyAlignment="1">
      <alignment horizontal="center" vertical="center"/>
    </xf>
    <xf numFmtId="0" fontId="11" fillId="0" borderId="0" xfId="0" applyFont="1" applyBorder="1" applyAlignment="1">
      <alignment horizontal="center" vertical="center"/>
    </xf>
    <xf numFmtId="2" fontId="12" fillId="0" borderId="37" xfId="0" applyNumberFormat="1" applyFont="1" applyBorder="1" applyAlignment="1">
      <alignment horizontal="center" vertical="center"/>
    </xf>
    <xf numFmtId="2" fontId="12" fillId="0" borderId="38" xfId="0" applyNumberFormat="1" applyFont="1" applyBorder="1" applyAlignment="1">
      <alignment horizontal="center" vertical="center"/>
    </xf>
    <xf numFmtId="2" fontId="12" fillId="0" borderId="39"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3" fillId="0" borderId="0"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1" fillId="0" borderId="19" xfId="0" quotePrefix="1"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76" fontId="3" fillId="0" borderId="55"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179" fontId="3" fillId="0" borderId="1" xfId="0" applyNumberFormat="1" applyFont="1" applyBorder="1" applyAlignment="1">
      <alignment horizontal="center" vertical="center"/>
    </xf>
    <xf numFmtId="179" fontId="3" fillId="0" borderId="28" xfId="0" applyNumberFormat="1" applyFont="1" applyBorder="1" applyAlignment="1">
      <alignment horizontal="center" vertical="center"/>
    </xf>
    <xf numFmtId="178" fontId="3" fillId="0" borderId="27"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36" xfId="0" applyNumberFormat="1" applyFont="1" applyBorder="1" applyAlignment="1">
      <alignment horizontal="center" vertical="center"/>
    </xf>
    <xf numFmtId="178" fontId="4" fillId="0" borderId="55" xfId="0" applyNumberFormat="1" applyFont="1" applyFill="1" applyBorder="1" applyAlignment="1">
      <alignment horizontal="center" vertical="center"/>
    </xf>
    <xf numFmtId="178" fontId="4" fillId="0" borderId="51" xfId="0" applyNumberFormat="1" applyFont="1" applyFill="1" applyBorder="1" applyAlignment="1">
      <alignment horizontal="center" vertical="center"/>
    </xf>
    <xf numFmtId="178" fontId="3" fillId="0" borderId="32"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3" fillId="0" borderId="57" xfId="0" applyNumberFormat="1" applyFont="1" applyBorder="1" applyAlignment="1">
      <alignment horizontal="center" vertical="center"/>
    </xf>
    <xf numFmtId="178" fontId="3" fillId="0" borderId="33" xfId="0" applyNumberFormat="1" applyFont="1" applyBorder="1" applyAlignment="1">
      <alignment horizontal="center" vertical="center"/>
    </xf>
    <xf numFmtId="179" fontId="3" fillId="0" borderId="8" xfId="0" applyNumberFormat="1" applyFont="1" applyBorder="1" applyAlignment="1">
      <alignment horizontal="center" vertical="center"/>
    </xf>
    <xf numFmtId="176" fontId="3" fillId="0" borderId="5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wrapText="1"/>
    </xf>
    <xf numFmtId="179" fontId="4" fillId="0" borderId="1" xfId="0" applyNumberFormat="1" applyFont="1" applyBorder="1" applyAlignment="1">
      <alignment horizontal="center" vertical="center"/>
    </xf>
    <xf numFmtId="178" fontId="4" fillId="0" borderId="27" xfId="0" applyNumberFormat="1" applyFont="1" applyBorder="1" applyAlignment="1">
      <alignment horizontal="center" vertical="center"/>
    </xf>
    <xf numFmtId="176" fontId="3" fillId="0" borderId="47"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78" fontId="3" fillId="0" borderId="51" xfId="0" applyNumberFormat="1" applyFont="1" applyFill="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178" fontId="3" fillId="0" borderId="55" xfId="0" applyNumberFormat="1" applyFont="1" applyFill="1" applyBorder="1" applyAlignment="1">
      <alignment horizontal="center" vertical="center"/>
    </xf>
    <xf numFmtId="178" fontId="3" fillId="0" borderId="59" xfId="0" applyNumberFormat="1" applyFont="1" applyFill="1" applyBorder="1" applyAlignment="1">
      <alignment horizontal="center" vertical="center"/>
    </xf>
    <xf numFmtId="2" fontId="3" fillId="0" borderId="0" xfId="0" applyNumberFormat="1"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178" fontId="3" fillId="0" borderId="37" xfId="0" applyNumberFormat="1" applyFont="1" applyFill="1" applyBorder="1" applyAlignment="1">
      <alignment horizontal="center" vertical="center"/>
    </xf>
    <xf numFmtId="0" fontId="3" fillId="0" borderId="38" xfId="0" applyFont="1" applyFill="1" applyBorder="1" applyAlignment="1">
      <alignment horizontal="center" vertical="center"/>
    </xf>
    <xf numFmtId="176" fontId="2" fillId="0" borderId="47" xfId="0" applyNumberFormat="1" applyFont="1" applyFill="1" applyBorder="1" applyAlignment="1">
      <alignment horizontal="center" vertical="center"/>
    </xf>
    <xf numFmtId="176" fontId="2" fillId="0" borderId="51" xfId="0" applyNumberFormat="1" applyFont="1" applyFill="1" applyBorder="1" applyAlignment="1">
      <alignment horizontal="center" vertical="center"/>
    </xf>
    <xf numFmtId="176" fontId="2" fillId="0" borderId="55" xfId="0" applyNumberFormat="1" applyFont="1" applyFill="1" applyBorder="1" applyAlignment="1">
      <alignment horizontal="center" vertical="center"/>
    </xf>
    <xf numFmtId="176" fontId="2" fillId="0" borderId="59" xfId="0" applyNumberFormat="1" applyFont="1" applyFill="1" applyBorder="1" applyAlignment="1">
      <alignment horizontal="center" vertical="center"/>
    </xf>
    <xf numFmtId="176" fontId="3" fillId="0" borderId="58" xfId="0"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4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40" xfId="0" applyFont="1" applyFill="1" applyBorder="1" applyAlignment="1" applyProtection="1">
      <alignment horizontal="center" vertical="center"/>
      <protection locked="0"/>
    </xf>
    <xf numFmtId="0" fontId="0" fillId="0" borderId="0" xfId="0" applyBorder="1" applyAlignment="1">
      <alignment horizontal="left" vertical="center"/>
    </xf>
    <xf numFmtId="0" fontId="6" fillId="0" borderId="0" xfId="0" applyFont="1" applyBorder="1" applyAlignment="1">
      <alignment horizontal="center" vertical="center"/>
    </xf>
    <xf numFmtId="0" fontId="1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50"/>
  <sheetViews>
    <sheetView tabSelected="1" view="pageBreakPreview" zoomScale="85" zoomScaleNormal="100" zoomScaleSheetLayoutView="85" workbookViewId="0">
      <selection activeCell="Q46" sqref="Q46"/>
    </sheetView>
  </sheetViews>
  <sheetFormatPr defaultRowHeight="13.5" x14ac:dyDescent="0.15"/>
  <cols>
    <col min="1" max="1" width="4.625" customWidth="1"/>
  </cols>
  <sheetData>
    <row r="3" spans="2:10" x14ac:dyDescent="0.15">
      <c r="B3" t="s">
        <v>108</v>
      </c>
      <c r="I3" s="93" t="s">
        <v>113</v>
      </c>
      <c r="J3" s="93"/>
    </row>
    <row r="5" spans="2:10" ht="18.75" x14ac:dyDescent="0.15">
      <c r="B5" s="94" t="s">
        <v>109</v>
      </c>
      <c r="C5" s="94"/>
      <c r="D5" s="94"/>
      <c r="E5" s="94"/>
      <c r="F5" s="94"/>
      <c r="G5" s="94"/>
      <c r="H5" s="94"/>
      <c r="I5" s="94"/>
      <c r="J5" s="94"/>
    </row>
    <row r="7" spans="2:10" ht="13.5" customHeight="1" x14ac:dyDescent="0.15">
      <c r="B7" s="92" t="s">
        <v>116</v>
      </c>
      <c r="C7" s="92"/>
      <c r="D7" s="92"/>
      <c r="E7" s="92"/>
      <c r="F7" s="92"/>
      <c r="G7" s="92"/>
      <c r="H7" s="92"/>
      <c r="I7" s="92"/>
      <c r="J7" s="92"/>
    </row>
    <row r="8" spans="2:10" x14ac:dyDescent="0.15">
      <c r="B8" s="92"/>
      <c r="C8" s="92"/>
      <c r="D8" s="92"/>
      <c r="E8" s="92"/>
      <c r="F8" s="92"/>
      <c r="G8" s="92"/>
      <c r="H8" s="92"/>
      <c r="I8" s="92"/>
      <c r="J8" s="92"/>
    </row>
    <row r="9" spans="2:10" x14ac:dyDescent="0.15">
      <c r="B9" s="92"/>
      <c r="C9" s="92"/>
      <c r="D9" s="92"/>
      <c r="E9" s="92"/>
      <c r="F9" s="92"/>
      <c r="G9" s="92"/>
      <c r="H9" s="92"/>
      <c r="I9" s="92"/>
      <c r="J9" s="92"/>
    </row>
    <row r="10" spans="2:10" x14ac:dyDescent="0.15">
      <c r="B10" s="92"/>
      <c r="C10" s="92"/>
      <c r="D10" s="92"/>
      <c r="E10" s="92"/>
      <c r="F10" s="92"/>
      <c r="G10" s="92"/>
      <c r="H10" s="92"/>
      <c r="I10" s="92"/>
      <c r="J10" s="92"/>
    </row>
    <row r="11" spans="2:10" x14ac:dyDescent="0.15">
      <c r="B11" s="92"/>
      <c r="C11" s="92"/>
      <c r="D11" s="92"/>
      <c r="E11" s="92"/>
      <c r="F11" s="92"/>
      <c r="G11" s="92"/>
      <c r="H11" s="92"/>
      <c r="I11" s="92"/>
      <c r="J11" s="92"/>
    </row>
    <row r="12" spans="2:10" x14ac:dyDescent="0.15">
      <c r="B12" s="92"/>
      <c r="C12" s="92"/>
      <c r="D12" s="92"/>
      <c r="E12" s="92"/>
      <c r="F12" s="92"/>
      <c r="G12" s="92"/>
      <c r="H12" s="92"/>
      <c r="I12" s="92"/>
      <c r="J12" s="92"/>
    </row>
    <row r="13" spans="2:10" x14ac:dyDescent="0.15">
      <c r="B13" s="92"/>
      <c r="C13" s="92"/>
      <c r="D13" s="92"/>
      <c r="E13" s="92"/>
      <c r="F13" s="92"/>
      <c r="G13" s="92"/>
      <c r="H13" s="92"/>
      <c r="I13" s="92"/>
      <c r="J13" s="92"/>
    </row>
    <row r="15" spans="2:10" ht="13.5" customHeight="1" x14ac:dyDescent="0.15">
      <c r="B15" s="91" t="s">
        <v>115</v>
      </c>
      <c r="C15" s="91"/>
      <c r="D15" s="91"/>
      <c r="E15" s="91"/>
      <c r="F15" s="91"/>
      <c r="G15" s="91"/>
      <c r="H15" s="91"/>
      <c r="I15" s="91"/>
      <c r="J15" s="91"/>
    </row>
    <row r="16" spans="2:10" x14ac:dyDescent="0.15">
      <c r="B16" s="91"/>
      <c r="C16" s="91"/>
      <c r="D16" s="91"/>
      <c r="E16" s="91"/>
      <c r="F16" s="91"/>
      <c r="G16" s="91"/>
      <c r="H16" s="91"/>
      <c r="I16" s="91"/>
      <c r="J16" s="91"/>
    </row>
    <row r="17" spans="2:10" x14ac:dyDescent="0.15">
      <c r="B17" s="91"/>
      <c r="C17" s="91"/>
      <c r="D17" s="91"/>
      <c r="E17" s="91"/>
      <c r="F17" s="91"/>
      <c r="G17" s="91"/>
      <c r="H17" s="91"/>
      <c r="I17" s="91"/>
      <c r="J17" s="91"/>
    </row>
    <row r="18" spans="2:10" x14ac:dyDescent="0.15">
      <c r="B18" s="91"/>
      <c r="C18" s="91"/>
      <c r="D18" s="91"/>
      <c r="E18" s="91"/>
      <c r="F18" s="91"/>
      <c r="G18" s="91"/>
      <c r="H18" s="91"/>
      <c r="I18" s="91"/>
      <c r="J18" s="91"/>
    </row>
    <row r="19" spans="2:10" x14ac:dyDescent="0.15">
      <c r="B19" s="91"/>
      <c r="C19" s="91"/>
      <c r="D19" s="91"/>
      <c r="E19" s="91"/>
      <c r="F19" s="91"/>
      <c r="G19" s="91"/>
      <c r="H19" s="91"/>
      <c r="I19" s="91"/>
      <c r="J19" s="91"/>
    </row>
    <row r="20" spans="2:10" x14ac:dyDescent="0.15">
      <c r="B20" s="91"/>
      <c r="C20" s="91"/>
      <c r="D20" s="91"/>
      <c r="E20" s="91"/>
      <c r="F20" s="91"/>
      <c r="G20" s="91"/>
      <c r="H20" s="91"/>
      <c r="I20" s="91"/>
      <c r="J20" s="91"/>
    </row>
    <row r="21" spans="2:10" x14ac:dyDescent="0.15">
      <c r="B21" s="45"/>
      <c r="C21" s="45"/>
      <c r="D21" s="45"/>
      <c r="E21" s="45"/>
      <c r="F21" s="45"/>
      <c r="G21" s="45"/>
      <c r="H21" s="45"/>
      <c r="I21" s="45"/>
      <c r="J21" s="45"/>
    </row>
    <row r="22" spans="2:10" x14ac:dyDescent="0.15">
      <c r="B22" s="92" t="s">
        <v>114</v>
      </c>
      <c r="C22" s="92"/>
      <c r="D22" s="92"/>
      <c r="E22" s="92"/>
      <c r="F22" s="92"/>
      <c r="G22" s="92"/>
      <c r="H22" s="92"/>
      <c r="I22" s="92"/>
      <c r="J22" s="92"/>
    </row>
    <row r="23" spans="2:10" x14ac:dyDescent="0.15">
      <c r="B23" s="46"/>
      <c r="C23" s="46"/>
      <c r="D23" s="46"/>
      <c r="E23" s="46"/>
      <c r="F23" s="46"/>
      <c r="G23" s="46"/>
      <c r="H23" s="46"/>
      <c r="I23" s="46"/>
      <c r="J23" s="46"/>
    </row>
    <row r="24" spans="2:10" ht="13.5" customHeight="1" x14ac:dyDescent="0.15">
      <c r="B24" s="92" t="s">
        <v>117</v>
      </c>
      <c r="C24" s="92"/>
      <c r="D24" s="92"/>
      <c r="E24" s="92"/>
      <c r="F24" s="92"/>
      <c r="G24" s="92"/>
      <c r="H24" s="92"/>
      <c r="I24" s="92"/>
      <c r="J24" s="92"/>
    </row>
    <row r="25" spans="2:10" x14ac:dyDescent="0.15">
      <c r="B25" s="92"/>
      <c r="C25" s="92"/>
      <c r="D25" s="92"/>
      <c r="E25" s="92"/>
      <c r="F25" s="92"/>
      <c r="G25" s="92"/>
      <c r="H25" s="92"/>
      <c r="I25" s="92"/>
      <c r="J25" s="92"/>
    </row>
    <row r="26" spans="2:10" x14ac:dyDescent="0.15">
      <c r="B26" s="46"/>
      <c r="C26" s="46"/>
      <c r="D26" s="46"/>
      <c r="E26" s="46"/>
      <c r="F26" s="46"/>
      <c r="G26" s="46"/>
      <c r="H26" s="46"/>
      <c r="I26" s="46"/>
      <c r="J26" s="46"/>
    </row>
    <row r="27" spans="2:10" ht="13.5" customHeight="1" x14ac:dyDescent="0.15">
      <c r="B27" s="92" t="s">
        <v>111</v>
      </c>
      <c r="C27" s="92"/>
      <c r="D27" s="92"/>
      <c r="E27" s="92"/>
      <c r="F27" s="92"/>
      <c r="G27" s="92"/>
      <c r="H27" s="92"/>
      <c r="I27" s="92"/>
      <c r="J27" s="92"/>
    </row>
    <row r="28" spans="2:10" x14ac:dyDescent="0.15">
      <c r="B28" s="92"/>
      <c r="C28" s="92"/>
      <c r="D28" s="92"/>
      <c r="E28" s="92"/>
      <c r="F28" s="92"/>
      <c r="G28" s="92"/>
      <c r="H28" s="92"/>
      <c r="I28" s="92"/>
      <c r="J28" s="92"/>
    </row>
    <row r="29" spans="2:10" x14ac:dyDescent="0.15">
      <c r="B29" s="92"/>
      <c r="C29" s="92"/>
      <c r="D29" s="92"/>
      <c r="E29" s="92"/>
      <c r="F29" s="92"/>
      <c r="G29" s="92"/>
      <c r="H29" s="92"/>
      <c r="I29" s="92"/>
      <c r="J29" s="92"/>
    </row>
    <row r="30" spans="2:10" x14ac:dyDescent="0.15">
      <c r="B30" s="92"/>
      <c r="C30" s="92"/>
      <c r="D30" s="92"/>
      <c r="E30" s="92"/>
      <c r="F30" s="92"/>
      <c r="G30" s="92"/>
      <c r="H30" s="92"/>
      <c r="I30" s="92"/>
      <c r="J30" s="92"/>
    </row>
    <row r="31" spans="2:10" x14ac:dyDescent="0.15">
      <c r="B31" s="92"/>
      <c r="C31" s="92"/>
      <c r="D31" s="92"/>
      <c r="E31" s="92"/>
      <c r="F31" s="92"/>
      <c r="G31" s="92"/>
      <c r="H31" s="92"/>
      <c r="I31" s="92"/>
      <c r="J31" s="92"/>
    </row>
    <row r="32" spans="2:10" x14ac:dyDescent="0.15">
      <c r="B32" s="46"/>
      <c r="C32" s="46"/>
      <c r="D32" s="46"/>
      <c r="E32" s="46"/>
      <c r="F32" s="46"/>
      <c r="G32" s="46"/>
      <c r="H32" s="46"/>
      <c r="I32" s="46"/>
      <c r="J32" s="46"/>
    </row>
    <row r="33" spans="2:10" ht="13.5" customHeight="1" x14ac:dyDescent="0.15">
      <c r="B33" s="92" t="s">
        <v>119</v>
      </c>
      <c r="C33" s="92"/>
      <c r="D33" s="92"/>
      <c r="E33" s="92"/>
      <c r="F33" s="92"/>
      <c r="G33" s="92"/>
      <c r="H33" s="92"/>
      <c r="I33" s="92"/>
      <c r="J33" s="92"/>
    </row>
    <row r="34" spans="2:10" x14ac:dyDescent="0.15">
      <c r="B34" s="92"/>
      <c r="C34" s="92"/>
      <c r="D34" s="92"/>
      <c r="E34" s="92"/>
      <c r="F34" s="92"/>
      <c r="G34" s="92"/>
      <c r="H34" s="92"/>
      <c r="I34" s="92"/>
      <c r="J34" s="92"/>
    </row>
    <row r="35" spans="2:10" x14ac:dyDescent="0.15">
      <c r="B35" s="92"/>
      <c r="C35" s="92"/>
      <c r="D35" s="92"/>
      <c r="E35" s="92"/>
      <c r="F35" s="92"/>
      <c r="G35" s="92"/>
      <c r="H35" s="92"/>
      <c r="I35" s="92"/>
      <c r="J35" s="92"/>
    </row>
    <row r="36" spans="2:10" x14ac:dyDescent="0.15">
      <c r="B36" s="92"/>
      <c r="C36" s="92"/>
      <c r="D36" s="92"/>
      <c r="E36" s="92"/>
      <c r="F36" s="92"/>
      <c r="G36" s="92"/>
      <c r="H36" s="92"/>
      <c r="I36" s="92"/>
      <c r="J36" s="92"/>
    </row>
    <row r="37" spans="2:10" x14ac:dyDescent="0.15">
      <c r="B37" s="92"/>
      <c r="C37" s="92"/>
      <c r="D37" s="92"/>
      <c r="E37" s="92"/>
      <c r="F37" s="92"/>
      <c r="G37" s="92"/>
      <c r="H37" s="92"/>
      <c r="I37" s="92"/>
      <c r="J37" s="92"/>
    </row>
    <row r="38" spans="2:10" x14ac:dyDescent="0.15">
      <c r="B38" s="92"/>
      <c r="C38" s="92"/>
      <c r="D38" s="92"/>
      <c r="E38" s="92"/>
      <c r="F38" s="92"/>
      <c r="G38" s="92"/>
      <c r="H38" s="92"/>
      <c r="I38" s="92"/>
      <c r="J38" s="92"/>
    </row>
    <row r="39" spans="2:10" x14ac:dyDescent="0.15">
      <c r="B39" s="92"/>
      <c r="C39" s="92"/>
      <c r="D39" s="92"/>
      <c r="E39" s="92"/>
      <c r="F39" s="92"/>
      <c r="G39" s="92"/>
      <c r="H39" s="92"/>
      <c r="I39" s="92"/>
      <c r="J39" s="92"/>
    </row>
    <row r="40" spans="2:10" x14ac:dyDescent="0.15">
      <c r="B40" s="91" t="s">
        <v>118</v>
      </c>
      <c r="C40" s="91"/>
      <c r="D40" s="91"/>
      <c r="E40" s="91"/>
      <c r="F40" s="91"/>
      <c r="G40" s="91"/>
      <c r="H40" s="91"/>
      <c r="I40" s="91"/>
      <c r="J40" s="91"/>
    </row>
    <row r="41" spans="2:10" x14ac:dyDescent="0.15">
      <c r="B41" s="45"/>
      <c r="C41" s="45"/>
      <c r="D41" s="45"/>
      <c r="E41" s="45"/>
      <c r="F41" s="45"/>
      <c r="G41" s="45"/>
      <c r="H41" s="45"/>
      <c r="I41" s="45"/>
      <c r="J41" s="45"/>
    </row>
    <row r="42" spans="2:10" ht="13.5" customHeight="1" x14ac:dyDescent="0.15">
      <c r="B42" s="91" t="s">
        <v>120</v>
      </c>
      <c r="C42" s="91"/>
      <c r="D42" s="91"/>
      <c r="E42" s="91"/>
      <c r="F42" s="91"/>
      <c r="G42" s="91"/>
      <c r="H42" s="91"/>
      <c r="I42" s="91"/>
      <c r="J42" s="91"/>
    </row>
    <row r="43" spans="2:10" x14ac:dyDescent="0.15">
      <c r="B43" s="91"/>
      <c r="C43" s="91"/>
      <c r="D43" s="91"/>
      <c r="E43" s="91"/>
      <c r="F43" s="91"/>
      <c r="G43" s="91"/>
      <c r="H43" s="91"/>
      <c r="I43" s="91"/>
      <c r="J43" s="91"/>
    </row>
    <row r="44" spans="2:10" x14ac:dyDescent="0.15">
      <c r="B44" s="91"/>
      <c r="C44" s="91"/>
      <c r="D44" s="91"/>
      <c r="E44" s="91"/>
      <c r="F44" s="91"/>
      <c r="G44" s="91"/>
      <c r="H44" s="91"/>
      <c r="I44" s="91"/>
      <c r="J44" s="91"/>
    </row>
    <row r="45" spans="2:10" x14ac:dyDescent="0.15">
      <c r="B45" s="91"/>
      <c r="C45" s="91"/>
      <c r="D45" s="91"/>
      <c r="E45" s="91"/>
      <c r="F45" s="91"/>
      <c r="G45" s="91"/>
      <c r="H45" s="91"/>
      <c r="I45" s="91"/>
      <c r="J45" s="91"/>
    </row>
    <row r="46" spans="2:10" x14ac:dyDescent="0.15">
      <c r="B46" s="91"/>
      <c r="C46" s="91"/>
      <c r="D46" s="91"/>
      <c r="E46" s="91"/>
      <c r="F46" s="91"/>
      <c r="G46" s="91"/>
      <c r="H46" s="91"/>
      <c r="I46" s="91"/>
      <c r="J46" s="91"/>
    </row>
    <row r="47" spans="2:10" x14ac:dyDescent="0.15">
      <c r="B47" s="91"/>
      <c r="C47" s="91"/>
      <c r="D47" s="91"/>
      <c r="E47" s="91"/>
      <c r="F47" s="91"/>
      <c r="G47" s="91"/>
      <c r="H47" s="91"/>
      <c r="I47" s="91"/>
      <c r="J47" s="91"/>
    </row>
    <row r="48" spans="2:10" x14ac:dyDescent="0.15">
      <c r="B48" s="91"/>
      <c r="C48" s="91"/>
      <c r="D48" s="91"/>
      <c r="E48" s="91"/>
      <c r="F48" s="91"/>
      <c r="G48" s="91"/>
      <c r="H48" s="91"/>
      <c r="I48" s="91"/>
      <c r="J48" s="91"/>
    </row>
    <row r="49" spans="2:10" x14ac:dyDescent="0.15">
      <c r="B49" s="91"/>
      <c r="C49" s="91"/>
      <c r="D49" s="91"/>
      <c r="E49" s="91"/>
      <c r="F49" s="91"/>
      <c r="G49" s="91"/>
      <c r="H49" s="91"/>
      <c r="I49" s="91"/>
      <c r="J49" s="91"/>
    </row>
    <row r="50" spans="2:10" x14ac:dyDescent="0.15">
      <c r="B50" s="91"/>
      <c r="C50" s="91"/>
      <c r="D50" s="91"/>
      <c r="E50" s="91"/>
      <c r="F50" s="91"/>
      <c r="G50" s="91"/>
      <c r="H50" s="91"/>
      <c r="I50" s="91"/>
      <c r="J50" s="91"/>
    </row>
  </sheetData>
  <sheetProtection algorithmName="SHA-512" hashValue="0SceXTdo2QVGU/hspZ/jtjnPP8+NkRsYwCtPjExL2fqfZCfpr6l5CufFnGYEuGy366kgi6IFG5hv3Myx26teiQ==" saltValue="DV9W7hOLB67594gwq/9UvQ==" spinCount="100000" sheet="1" objects="1" scenarios="1"/>
  <mergeCells count="10">
    <mergeCell ref="B42:J50"/>
    <mergeCell ref="B33:J39"/>
    <mergeCell ref="B24:J25"/>
    <mergeCell ref="B27:J31"/>
    <mergeCell ref="I3:J3"/>
    <mergeCell ref="B5:J5"/>
    <mergeCell ref="B22:J22"/>
    <mergeCell ref="B40:J40"/>
    <mergeCell ref="B15:J20"/>
    <mergeCell ref="B7:J1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N65"/>
  <sheetViews>
    <sheetView view="pageBreakPreview" topLeftCell="K22" zoomScale="55" zoomScaleNormal="25" zoomScaleSheetLayoutView="55" workbookViewId="0">
      <selection activeCell="S20" sqref="S20:U20"/>
    </sheetView>
  </sheetViews>
  <sheetFormatPr defaultRowHeight="17.25" x14ac:dyDescent="0.15"/>
  <cols>
    <col min="2" max="2" width="5.375" bestFit="1" customWidth="1"/>
    <col min="3" max="3" width="5.125" bestFit="1" customWidth="1"/>
    <col min="4" max="4" width="5.375" bestFit="1" customWidth="1"/>
    <col min="5" max="5" width="9.875" bestFit="1" customWidth="1"/>
    <col min="6" max="6" width="5.375" bestFit="1" customWidth="1"/>
    <col min="7" max="7" width="5.125" bestFit="1" customWidth="1"/>
    <col min="8" max="8" width="5.375" bestFit="1" customWidth="1"/>
    <col min="9" max="10" width="5.125" bestFit="1" customWidth="1"/>
    <col min="11" max="11" width="10.75" bestFit="1" customWidth="1"/>
    <col min="12" max="12" width="9.125" bestFit="1" customWidth="1"/>
    <col min="13" max="13" width="9.125" style="9" bestFit="1" customWidth="1"/>
    <col min="14" max="15" width="12.625" hidden="1" customWidth="1"/>
    <col min="16" max="16" width="12.625" bestFit="1" customWidth="1"/>
    <col min="17" max="17" width="12.375" bestFit="1" customWidth="1"/>
    <col min="18" max="18" width="7.875" bestFit="1" customWidth="1"/>
    <col min="19" max="19" width="6.5" style="22" bestFit="1" customWidth="1"/>
    <col min="20" max="20" width="5.125" bestFit="1" customWidth="1"/>
    <col min="21" max="21" width="4.625" bestFit="1" customWidth="1"/>
    <col min="22" max="22" width="6.5" style="22" bestFit="1" customWidth="1"/>
    <col min="23" max="23" width="5.125" bestFit="1" customWidth="1"/>
    <col min="24" max="24" width="4" customWidth="1"/>
    <col min="25" max="25" width="6.5" style="22" bestFit="1" customWidth="1"/>
    <col min="26" max="26" width="5.125" bestFit="1" customWidth="1"/>
    <col min="27" max="27" width="4" customWidth="1"/>
    <col min="28" max="28" width="7.875" style="22" bestFit="1" customWidth="1"/>
    <col min="29" max="29" width="5.125" bestFit="1" customWidth="1"/>
    <col min="30" max="30" width="4" customWidth="1"/>
    <col min="31" max="31" width="7.875" style="22" bestFit="1" customWidth="1"/>
    <col min="32" max="32" width="5.125" bestFit="1" customWidth="1"/>
    <col min="33" max="33" width="4" customWidth="1"/>
    <col min="34" max="34" width="7.875" style="22" bestFit="1" customWidth="1"/>
    <col min="35" max="35" width="5.125" bestFit="1" customWidth="1"/>
    <col min="36" max="36" width="4" customWidth="1"/>
    <col min="37" max="37" width="6.5" style="22" bestFit="1" customWidth="1"/>
    <col min="38" max="38" width="5.125" bestFit="1" customWidth="1"/>
    <col min="39" max="39" width="4.625" customWidth="1"/>
    <col min="40" max="40" width="7.875" style="22" bestFit="1" customWidth="1"/>
    <col min="41" max="41" width="5.125" bestFit="1" customWidth="1"/>
    <col min="42" max="42" width="4.625" bestFit="1" customWidth="1"/>
    <col min="43" max="43" width="6.5" style="22" bestFit="1" customWidth="1"/>
    <col min="44" max="44" width="5.125" bestFit="1" customWidth="1"/>
    <col min="45" max="45" width="4" customWidth="1"/>
    <col min="46" max="46" width="6.5" style="22" bestFit="1" customWidth="1"/>
    <col min="47" max="47" width="5.125" bestFit="1" customWidth="1"/>
    <col min="48" max="48" width="4" customWidth="1"/>
    <col min="49" max="49" width="6.5" style="22" bestFit="1" customWidth="1"/>
    <col min="50" max="50" width="5.125" bestFit="1" customWidth="1"/>
    <col min="51" max="51" width="4" customWidth="1"/>
    <col min="52" max="52" width="6.5" style="22" bestFit="1" customWidth="1"/>
    <col min="53" max="53" width="5.125" bestFit="1" customWidth="1"/>
    <col min="54" max="54" width="4" customWidth="1"/>
    <col min="55" max="55" width="6.5" style="22" bestFit="1" customWidth="1"/>
    <col min="56" max="56" width="5.125" bestFit="1" customWidth="1"/>
    <col min="57" max="57" width="4" customWidth="1"/>
    <col min="58" max="58" width="6.5" style="22" bestFit="1" customWidth="1"/>
    <col min="59" max="59" width="5.125" bestFit="1" customWidth="1"/>
    <col min="60" max="60" width="4" customWidth="1"/>
    <col min="61" max="61" width="6.5" style="22" bestFit="1" customWidth="1"/>
    <col min="62" max="62" width="5.125" bestFit="1" customWidth="1"/>
    <col min="63" max="63" width="4" customWidth="1"/>
    <col min="64" max="64" width="9.125" bestFit="1" customWidth="1"/>
    <col min="65" max="65" width="13.5" bestFit="1" customWidth="1"/>
    <col min="66" max="66" width="12.625" bestFit="1" customWidth="1"/>
  </cols>
  <sheetData>
    <row r="1" spans="2:66" ht="12" customHeight="1" x14ac:dyDescent="0.15"/>
    <row r="2" spans="2:66" ht="12" customHeight="1" thickBot="1" x14ac:dyDescent="0.2"/>
    <row r="3" spans="2:66" ht="25.5" customHeight="1" thickBot="1" x14ac:dyDescent="0.2">
      <c r="B3" s="34"/>
      <c r="C3" s="34"/>
      <c r="D3" s="34"/>
      <c r="E3" s="34"/>
      <c r="F3" s="34"/>
      <c r="G3" s="34"/>
      <c r="H3" s="34"/>
      <c r="I3" s="34"/>
      <c r="J3" s="34"/>
      <c r="K3" s="34"/>
      <c r="L3" s="34"/>
      <c r="M3" s="34"/>
      <c r="N3" s="34"/>
      <c r="O3" s="34"/>
      <c r="P3" s="34"/>
      <c r="Q3" s="34"/>
      <c r="R3" s="34"/>
      <c r="S3" s="35"/>
      <c r="T3" s="34"/>
      <c r="U3" s="34"/>
      <c r="V3" s="35"/>
      <c r="W3" s="34"/>
      <c r="X3" s="34"/>
      <c r="Y3" s="35"/>
      <c r="Z3" s="34"/>
      <c r="AA3" s="34"/>
      <c r="AB3" s="35"/>
      <c r="AC3" s="34"/>
      <c r="AD3" s="34"/>
      <c r="AE3" s="35"/>
      <c r="AF3" s="34"/>
      <c r="AG3" s="34"/>
      <c r="AH3" s="35"/>
      <c r="AI3" s="34"/>
      <c r="AJ3" s="34"/>
      <c r="AK3" s="35"/>
      <c r="AL3" s="34"/>
      <c r="AM3" s="34"/>
      <c r="AN3" s="35"/>
      <c r="AO3" s="34"/>
      <c r="AP3" s="34"/>
      <c r="AQ3" s="35"/>
      <c r="AR3" s="34"/>
      <c r="AS3" s="34"/>
      <c r="AT3" s="35"/>
      <c r="AU3" s="34"/>
      <c r="AV3" s="34"/>
      <c r="AW3" s="35"/>
      <c r="AX3" s="34"/>
      <c r="AY3" s="34"/>
      <c r="AZ3" s="35"/>
      <c r="BA3" s="34"/>
      <c r="BB3" s="34"/>
      <c r="BC3" s="35"/>
      <c r="BD3" s="34"/>
      <c r="BE3" s="34"/>
      <c r="BF3" s="35"/>
      <c r="BG3" s="34"/>
      <c r="BH3" s="34"/>
      <c r="BI3" s="35"/>
      <c r="BJ3" s="34"/>
      <c r="BK3" s="34"/>
      <c r="BL3" s="34"/>
      <c r="BN3" s="47" t="s">
        <v>112</v>
      </c>
    </row>
    <row r="4" spans="2:66" ht="25.5" customHeight="1" x14ac:dyDescent="0.15">
      <c r="B4" s="34"/>
      <c r="C4" s="201" t="s">
        <v>90</v>
      </c>
      <c r="D4" s="201"/>
      <c r="E4" s="201"/>
      <c r="F4" s="201"/>
      <c r="G4" s="34"/>
      <c r="H4" s="34"/>
      <c r="I4" s="34"/>
      <c r="J4" s="34"/>
      <c r="K4" s="34"/>
      <c r="L4" s="34"/>
      <c r="M4" s="34"/>
      <c r="N4" s="34"/>
      <c r="O4" s="34"/>
      <c r="P4" s="34"/>
      <c r="Q4" s="34"/>
      <c r="R4" s="34"/>
      <c r="S4" s="35"/>
      <c r="T4" s="34"/>
      <c r="U4" s="34"/>
      <c r="V4" s="35"/>
      <c r="W4" s="34"/>
      <c r="X4" s="34"/>
      <c r="Y4" s="35"/>
      <c r="Z4" s="34"/>
      <c r="AA4" s="34"/>
      <c r="AB4" s="35"/>
      <c r="AC4" s="34"/>
      <c r="AD4" s="34"/>
      <c r="AE4" s="35"/>
      <c r="AF4" s="34"/>
      <c r="AG4" s="34"/>
      <c r="AH4" s="35"/>
      <c r="AI4" s="34"/>
      <c r="AJ4" s="34"/>
      <c r="AK4" s="35"/>
      <c r="AL4" s="34"/>
      <c r="AM4" s="34"/>
      <c r="AN4" s="35"/>
      <c r="AO4" s="34"/>
      <c r="AP4" s="34"/>
      <c r="AQ4" s="35"/>
      <c r="AR4" s="34"/>
      <c r="AS4" s="34"/>
      <c r="AT4" s="35"/>
      <c r="AU4" s="34"/>
      <c r="AV4" s="34"/>
      <c r="AW4" s="35"/>
      <c r="AX4" s="34"/>
      <c r="AY4" s="34"/>
      <c r="AZ4" s="35"/>
      <c r="BA4" s="34"/>
      <c r="BB4" s="34"/>
      <c r="BC4" s="35"/>
      <c r="BD4" s="34"/>
      <c r="BE4" s="34"/>
      <c r="BF4" s="35"/>
      <c r="BG4" s="34"/>
      <c r="BH4" s="34"/>
      <c r="BI4" s="35"/>
      <c r="BJ4" s="34"/>
      <c r="BK4" s="34"/>
      <c r="BL4" s="34"/>
      <c r="BM4" s="34"/>
      <c r="BN4" s="34"/>
    </row>
    <row r="5" spans="2:66" ht="25.5" customHeight="1" x14ac:dyDescent="0.15">
      <c r="B5" s="34"/>
      <c r="C5" s="34"/>
      <c r="D5" s="34"/>
      <c r="E5" s="34"/>
      <c r="F5" s="34"/>
      <c r="G5" s="34"/>
      <c r="H5" s="34"/>
      <c r="I5" s="34"/>
      <c r="J5" s="34"/>
      <c r="K5" s="34"/>
      <c r="L5" s="34"/>
      <c r="M5" s="34"/>
      <c r="N5" s="34"/>
      <c r="O5" s="34"/>
      <c r="P5" s="34"/>
      <c r="Q5" s="39"/>
      <c r="R5" s="39"/>
      <c r="S5" s="39"/>
      <c r="T5" s="39"/>
      <c r="U5" s="39"/>
      <c r="V5" s="39"/>
      <c r="W5" s="39"/>
      <c r="X5" s="39"/>
      <c r="Y5" s="39"/>
      <c r="Z5" s="39"/>
      <c r="AA5" s="39"/>
      <c r="AB5" s="39"/>
      <c r="AC5" s="39"/>
      <c r="AD5" s="39"/>
      <c r="AE5" s="35"/>
      <c r="AF5" s="34"/>
      <c r="AG5" s="34"/>
      <c r="AH5" s="35"/>
      <c r="AI5" s="34"/>
      <c r="AJ5" s="34"/>
      <c r="AK5" s="35"/>
      <c r="AL5" s="34"/>
      <c r="AM5" s="34"/>
      <c r="AN5" s="35"/>
      <c r="AO5" s="34"/>
      <c r="AP5" s="34"/>
      <c r="AQ5" s="35"/>
      <c r="AR5" s="34"/>
      <c r="AS5" s="34"/>
      <c r="AT5" s="35"/>
      <c r="AU5" s="34"/>
      <c r="AV5" s="34"/>
      <c r="AW5" s="35"/>
      <c r="AX5" s="34"/>
      <c r="AY5" s="34"/>
      <c r="AZ5" s="35"/>
      <c r="BA5" s="34"/>
      <c r="BB5" s="34"/>
      <c r="BC5" s="35"/>
      <c r="BD5" s="34"/>
      <c r="BE5" s="34"/>
      <c r="BF5" s="35"/>
      <c r="BG5" s="34"/>
      <c r="BH5" s="34"/>
      <c r="BI5" s="35"/>
      <c r="BJ5" s="34"/>
      <c r="BK5" s="34"/>
      <c r="BL5" s="34"/>
      <c r="BM5" s="34"/>
      <c r="BN5" s="34"/>
    </row>
    <row r="6" spans="2:66" ht="25.5" customHeight="1" thickBot="1" x14ac:dyDescent="0.2">
      <c r="B6" s="34"/>
      <c r="C6" s="202" t="s">
        <v>91</v>
      </c>
      <c r="D6" s="202"/>
      <c r="E6" s="202"/>
      <c r="F6" s="202"/>
      <c r="G6" s="202"/>
      <c r="H6" s="202"/>
      <c r="I6" s="202"/>
      <c r="J6" s="202"/>
      <c r="K6" s="34"/>
      <c r="L6" s="34"/>
      <c r="M6" s="34"/>
      <c r="N6" s="34"/>
      <c r="O6" s="34"/>
      <c r="P6" s="34"/>
      <c r="Q6" s="39"/>
      <c r="R6" s="39"/>
      <c r="S6" s="39"/>
      <c r="T6" s="39"/>
      <c r="U6" s="39"/>
      <c r="V6" s="39"/>
      <c r="W6" s="39"/>
      <c r="X6" s="39"/>
      <c r="Y6" s="39"/>
      <c r="Z6" s="39"/>
      <c r="AA6" s="39"/>
      <c r="AB6" s="39"/>
      <c r="AC6" s="39"/>
      <c r="AD6" s="39"/>
      <c r="AE6" s="35"/>
      <c r="AF6" s="34"/>
      <c r="AG6" s="34"/>
      <c r="AH6" s="35"/>
      <c r="AI6" s="34"/>
      <c r="AJ6" s="34"/>
      <c r="AK6" s="35"/>
      <c r="AL6" s="34"/>
      <c r="AM6" s="34"/>
      <c r="AN6" s="35"/>
      <c r="AO6" s="34"/>
      <c r="AP6" s="34"/>
      <c r="AQ6" s="35"/>
      <c r="AR6" s="34"/>
      <c r="AS6" s="34"/>
      <c r="AT6" s="35"/>
      <c r="AU6" s="34"/>
      <c r="AV6" s="34"/>
      <c r="AW6" s="35"/>
      <c r="AX6" s="34"/>
      <c r="AY6" s="34"/>
      <c r="AZ6" s="35"/>
      <c r="BA6" s="34"/>
      <c r="BB6" s="34"/>
      <c r="BC6" s="35"/>
      <c r="BD6" s="34"/>
      <c r="BE6" s="34"/>
      <c r="BF6" s="35"/>
      <c r="BG6" s="34"/>
      <c r="BH6" s="34"/>
      <c r="BI6" s="35"/>
      <c r="BJ6" s="34"/>
      <c r="BK6" s="34"/>
      <c r="BL6" s="34"/>
      <c r="BM6" s="34"/>
      <c r="BN6" s="34"/>
    </row>
    <row r="7" spans="2:66" ht="25.5" customHeight="1" x14ac:dyDescent="0.15">
      <c r="B7" s="34"/>
      <c r="C7" s="202" t="s">
        <v>92</v>
      </c>
      <c r="D7" s="202"/>
      <c r="E7" s="202"/>
      <c r="F7" s="202"/>
      <c r="G7" s="202"/>
      <c r="H7" s="202"/>
      <c r="I7" s="202"/>
      <c r="J7" s="202"/>
      <c r="L7" s="34"/>
      <c r="M7" s="34"/>
      <c r="O7" s="34"/>
      <c r="P7" s="34"/>
      <c r="R7" s="202" t="s">
        <v>93</v>
      </c>
      <c r="S7" s="202"/>
      <c r="T7" s="202"/>
      <c r="U7" s="202"/>
      <c r="V7" s="202"/>
      <c r="W7" s="202"/>
      <c r="X7" s="202"/>
      <c r="Y7" s="204"/>
      <c r="Z7" s="205"/>
      <c r="AA7" s="205"/>
      <c r="AB7" s="205"/>
      <c r="AC7" s="205"/>
      <c r="AD7" s="205"/>
      <c r="AE7" s="205"/>
      <c r="AF7" s="205"/>
      <c r="AG7" s="205"/>
      <c r="AH7" s="205"/>
      <c r="AI7" s="205"/>
      <c r="AJ7" s="205"/>
      <c r="AK7" s="205"/>
      <c r="AL7" s="205"/>
      <c r="AM7" s="205"/>
      <c r="AN7" s="206"/>
      <c r="AO7" s="34"/>
      <c r="AP7" s="34"/>
      <c r="AQ7" s="35"/>
      <c r="AR7" s="34"/>
      <c r="AS7" s="34"/>
      <c r="AT7" s="35"/>
      <c r="AU7" s="34" t="s">
        <v>95</v>
      </c>
      <c r="AV7" s="34"/>
      <c r="AW7" s="35"/>
      <c r="AX7" s="34"/>
      <c r="AY7" s="34"/>
      <c r="AZ7" s="35"/>
      <c r="BA7" s="34"/>
      <c r="BB7" s="34"/>
      <c r="BC7" s="35"/>
      <c r="BD7" s="34"/>
      <c r="BE7" s="34"/>
      <c r="BF7" s="35"/>
      <c r="BG7" s="34"/>
      <c r="BH7" s="34"/>
      <c r="BI7" s="35"/>
      <c r="BJ7" s="34"/>
      <c r="BK7" s="34"/>
      <c r="BL7" s="34"/>
      <c r="BM7" s="34"/>
      <c r="BN7" s="34"/>
    </row>
    <row r="8" spans="2:66" ht="25.5" customHeight="1" thickBot="1" x14ac:dyDescent="0.2">
      <c r="B8" s="34"/>
      <c r="C8" s="34"/>
      <c r="D8" s="34"/>
      <c r="E8" s="34"/>
      <c r="F8" s="34"/>
      <c r="G8" s="34"/>
      <c r="H8" s="34"/>
      <c r="I8" s="34"/>
      <c r="J8" s="34"/>
      <c r="K8" s="34"/>
      <c r="L8" s="34"/>
      <c r="M8" s="34"/>
      <c r="O8" s="34"/>
      <c r="P8" s="34"/>
      <c r="Y8" s="207"/>
      <c r="Z8" s="208"/>
      <c r="AA8" s="208"/>
      <c r="AB8" s="208"/>
      <c r="AC8" s="208"/>
      <c r="AD8" s="208"/>
      <c r="AE8" s="208"/>
      <c r="AF8" s="208"/>
      <c r="AG8" s="208"/>
      <c r="AH8" s="208"/>
      <c r="AI8" s="208"/>
      <c r="AJ8" s="208"/>
      <c r="AK8" s="208"/>
      <c r="AL8" s="208"/>
      <c r="AM8" s="208"/>
      <c r="AN8" s="209"/>
      <c r="AO8" s="34"/>
      <c r="AP8" s="34"/>
      <c r="AQ8" s="35"/>
      <c r="AR8" s="34"/>
      <c r="AS8" s="34"/>
      <c r="AT8" s="35"/>
      <c r="AU8" s="34"/>
      <c r="AV8" s="34"/>
      <c r="AW8" s="35"/>
      <c r="AX8" s="34"/>
      <c r="AY8" s="34"/>
      <c r="AZ8" s="35"/>
      <c r="BA8" s="34"/>
      <c r="BB8" s="34"/>
      <c r="BC8" s="35"/>
      <c r="BD8" s="34"/>
      <c r="BE8" s="34"/>
      <c r="BF8" s="35"/>
      <c r="BG8" s="34"/>
      <c r="BH8" s="34"/>
      <c r="BI8" s="35"/>
      <c r="BJ8" s="34"/>
      <c r="BK8" s="34"/>
      <c r="BL8" s="34"/>
      <c r="BM8" s="34"/>
      <c r="BN8" s="34"/>
    </row>
    <row r="9" spans="2:66" ht="25.5" customHeight="1" thickBot="1" x14ac:dyDescent="0.2">
      <c r="B9" s="34"/>
      <c r="C9" s="34"/>
      <c r="D9" s="34"/>
      <c r="E9" s="34"/>
      <c r="F9" s="34"/>
      <c r="G9" s="34"/>
      <c r="H9" s="34"/>
      <c r="I9" s="34"/>
      <c r="J9" s="34"/>
      <c r="K9" s="34"/>
      <c r="L9" s="34"/>
      <c r="M9" s="34"/>
      <c r="O9" s="34"/>
      <c r="P9" s="34"/>
      <c r="Q9" s="34"/>
      <c r="R9" s="34"/>
      <c r="S9" s="35"/>
      <c r="T9" s="34"/>
      <c r="U9" s="34"/>
      <c r="V9" s="35"/>
      <c r="W9" s="34"/>
      <c r="X9" s="34"/>
      <c r="Y9" s="35"/>
      <c r="Z9" s="34"/>
      <c r="AA9" s="34"/>
      <c r="AB9" s="35"/>
      <c r="AC9" s="34"/>
      <c r="AD9" s="34"/>
      <c r="AE9" s="35"/>
      <c r="AF9" s="34"/>
      <c r="AG9" s="34"/>
      <c r="AH9" s="35"/>
      <c r="AI9" s="34"/>
      <c r="AJ9" s="34"/>
      <c r="AK9" s="35"/>
      <c r="AL9" s="34"/>
      <c r="AM9" s="34"/>
      <c r="AN9" s="35"/>
      <c r="AO9" s="34"/>
      <c r="AP9" s="34"/>
      <c r="AQ9" s="35"/>
      <c r="AR9" s="34"/>
      <c r="AS9" s="34"/>
      <c r="AT9" s="35"/>
      <c r="AU9" s="204"/>
      <c r="AV9" s="205"/>
      <c r="AW9" s="205"/>
      <c r="AX9" s="205"/>
      <c r="AY9" s="205"/>
      <c r="AZ9" s="205"/>
      <c r="BA9" s="205"/>
      <c r="BB9" s="205"/>
      <c r="BC9" s="205"/>
      <c r="BD9" s="205"/>
      <c r="BE9" s="205"/>
      <c r="BF9" s="205"/>
      <c r="BG9" s="205"/>
      <c r="BH9" s="205"/>
      <c r="BI9" s="205"/>
      <c r="BJ9" s="206"/>
      <c r="BK9" s="34"/>
      <c r="BL9" s="201"/>
      <c r="BM9" s="201"/>
      <c r="BN9" s="34"/>
    </row>
    <row r="10" spans="2:66" ht="25.5" customHeight="1" x14ac:dyDescent="0.15">
      <c r="B10" s="34"/>
      <c r="C10" s="34"/>
      <c r="D10" s="34"/>
      <c r="E10" s="34"/>
      <c r="F10" s="34"/>
      <c r="G10" s="34"/>
      <c r="H10" s="34"/>
      <c r="I10" s="34"/>
      <c r="J10" s="34"/>
      <c r="L10" s="34"/>
      <c r="M10" s="34"/>
      <c r="O10" s="34"/>
      <c r="P10" s="34"/>
      <c r="Q10" s="34"/>
      <c r="R10" s="202" t="s">
        <v>94</v>
      </c>
      <c r="S10" s="202"/>
      <c r="T10" s="202"/>
      <c r="U10" s="202"/>
      <c r="V10" s="202"/>
      <c r="W10" s="202"/>
      <c r="X10" s="202"/>
      <c r="Y10" s="204"/>
      <c r="Z10" s="205"/>
      <c r="AA10" s="205"/>
      <c r="AB10" s="205"/>
      <c r="AC10" s="205"/>
      <c r="AD10" s="205"/>
      <c r="AE10" s="205"/>
      <c r="AF10" s="205"/>
      <c r="AG10" s="205"/>
      <c r="AH10" s="205"/>
      <c r="AI10" s="205"/>
      <c r="AJ10" s="205"/>
      <c r="AK10" s="205"/>
      <c r="AL10" s="205"/>
      <c r="AM10" s="205"/>
      <c r="AN10" s="206"/>
      <c r="AO10" s="34"/>
      <c r="AP10" s="34"/>
      <c r="AQ10" s="35"/>
      <c r="AR10" s="34"/>
      <c r="AS10" s="34"/>
      <c r="AT10" s="35"/>
      <c r="AU10" s="210"/>
      <c r="AV10" s="211"/>
      <c r="AW10" s="211"/>
      <c r="AX10" s="211"/>
      <c r="AY10" s="211"/>
      <c r="AZ10" s="211"/>
      <c r="BA10" s="211"/>
      <c r="BB10" s="211"/>
      <c r="BC10" s="211"/>
      <c r="BD10" s="211"/>
      <c r="BE10" s="211"/>
      <c r="BF10" s="211"/>
      <c r="BG10" s="211"/>
      <c r="BH10" s="211"/>
      <c r="BI10" s="211"/>
      <c r="BJ10" s="212"/>
      <c r="BK10" s="34"/>
      <c r="BL10" s="201"/>
      <c r="BM10" s="201"/>
      <c r="BN10" s="34"/>
    </row>
    <row r="11" spans="2:66" ht="25.5" customHeight="1" thickBot="1" x14ac:dyDescent="0.2">
      <c r="B11" s="34"/>
      <c r="C11" s="34"/>
      <c r="D11" s="34"/>
      <c r="E11" s="34"/>
      <c r="F11" s="34"/>
      <c r="G11" s="34"/>
      <c r="H11" s="34"/>
      <c r="I11" s="34"/>
      <c r="J11" s="34"/>
      <c r="K11" s="34"/>
      <c r="L11" s="34"/>
      <c r="M11" s="34"/>
      <c r="N11" s="34"/>
      <c r="O11" s="34"/>
      <c r="P11" s="34"/>
      <c r="Q11" s="34"/>
      <c r="R11" s="34"/>
      <c r="S11" s="35"/>
      <c r="U11" s="34"/>
      <c r="V11" s="35"/>
      <c r="W11" s="34"/>
      <c r="X11" s="34"/>
      <c r="Y11" s="207"/>
      <c r="Z11" s="208"/>
      <c r="AA11" s="208"/>
      <c r="AB11" s="208"/>
      <c r="AC11" s="208"/>
      <c r="AD11" s="208"/>
      <c r="AE11" s="208"/>
      <c r="AF11" s="208"/>
      <c r="AG11" s="208"/>
      <c r="AH11" s="208"/>
      <c r="AI11" s="208"/>
      <c r="AJ11" s="208"/>
      <c r="AK11" s="208"/>
      <c r="AL11" s="208"/>
      <c r="AM11" s="208"/>
      <c r="AN11" s="209"/>
      <c r="AO11" s="34"/>
      <c r="AP11" s="34"/>
      <c r="AQ11" s="35"/>
      <c r="AR11" s="34"/>
      <c r="AS11" s="34"/>
      <c r="AT11" s="35"/>
      <c r="AU11" s="207"/>
      <c r="AV11" s="208"/>
      <c r="AW11" s="208"/>
      <c r="AX11" s="208"/>
      <c r="AY11" s="208"/>
      <c r="AZ11" s="208"/>
      <c r="BA11" s="208"/>
      <c r="BB11" s="208"/>
      <c r="BC11" s="208"/>
      <c r="BD11" s="208"/>
      <c r="BE11" s="208"/>
      <c r="BF11" s="208"/>
      <c r="BG11" s="208"/>
      <c r="BH11" s="208"/>
      <c r="BI11" s="208"/>
      <c r="BJ11" s="209"/>
      <c r="BK11" s="34"/>
      <c r="BL11" s="201"/>
      <c r="BM11" s="201"/>
      <c r="BN11" s="34"/>
    </row>
    <row r="12" spans="2:66" ht="25.5" customHeight="1" x14ac:dyDescent="0.15">
      <c r="B12" s="34"/>
      <c r="C12" s="34"/>
      <c r="D12" s="34"/>
      <c r="E12" s="34"/>
      <c r="F12" s="34"/>
      <c r="G12" s="34"/>
      <c r="H12" s="34"/>
      <c r="I12" s="34"/>
      <c r="J12" s="34"/>
      <c r="K12" s="34"/>
      <c r="L12" s="34"/>
      <c r="M12" s="34"/>
      <c r="N12" s="34"/>
      <c r="O12" s="34"/>
      <c r="P12" s="34"/>
      <c r="Q12" s="34"/>
      <c r="R12" s="34"/>
      <c r="S12" s="35"/>
      <c r="T12" s="34"/>
      <c r="U12" s="34"/>
      <c r="V12" s="35"/>
      <c r="W12" s="34"/>
      <c r="X12" s="34"/>
      <c r="Y12" s="35"/>
      <c r="Z12" s="34"/>
      <c r="AA12" s="34"/>
      <c r="AB12" s="35"/>
      <c r="AC12" s="34"/>
      <c r="AD12" s="34"/>
      <c r="AE12" s="35"/>
      <c r="AF12" s="34"/>
      <c r="AG12" s="34"/>
      <c r="AH12" s="35"/>
      <c r="AI12" s="34"/>
      <c r="AJ12" s="34"/>
      <c r="AK12" s="35"/>
      <c r="AL12" s="34"/>
      <c r="AM12" s="34"/>
      <c r="AN12" s="35"/>
      <c r="AO12" s="34"/>
      <c r="AP12" s="34"/>
      <c r="AQ12" s="35"/>
      <c r="AR12" s="34"/>
      <c r="AS12" s="34"/>
      <c r="AT12" s="35"/>
      <c r="AU12" s="34"/>
      <c r="AV12" s="34"/>
      <c r="AW12" s="35"/>
      <c r="AX12" s="34"/>
      <c r="AY12" s="34"/>
      <c r="AZ12" s="35"/>
      <c r="BA12" s="34"/>
      <c r="BB12" s="34"/>
      <c r="BC12" s="35"/>
      <c r="BD12" s="34"/>
      <c r="BE12" s="34"/>
      <c r="BF12" s="35"/>
      <c r="BG12" s="34"/>
      <c r="BH12" s="34"/>
      <c r="BI12" s="35"/>
      <c r="BJ12" s="34"/>
      <c r="BK12" s="34"/>
      <c r="BL12" s="34"/>
      <c r="BM12" s="34"/>
      <c r="BN12" s="34"/>
    </row>
    <row r="13" spans="2:66" ht="34.5" customHeight="1" x14ac:dyDescent="0.15">
      <c r="B13" s="203" t="s">
        <v>96</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row>
    <row r="14" spans="2:66" ht="25.5" customHeight="1" x14ac:dyDescent="0.15">
      <c r="B14" s="36"/>
      <c r="C14" s="36"/>
      <c r="D14" s="36"/>
      <c r="E14" s="36"/>
      <c r="F14" s="36"/>
      <c r="G14" s="36"/>
      <c r="H14" s="36"/>
      <c r="I14" s="36"/>
      <c r="J14" s="36"/>
      <c r="K14" s="36"/>
      <c r="L14" s="36"/>
      <c r="M14" s="38"/>
      <c r="N14" s="36"/>
      <c r="O14" s="36"/>
      <c r="P14" s="36"/>
      <c r="Q14" s="36"/>
      <c r="R14" s="36"/>
      <c r="S14" s="37"/>
      <c r="T14" s="36"/>
      <c r="U14" s="36"/>
      <c r="V14" s="37"/>
      <c r="W14" s="36"/>
      <c r="X14" s="36"/>
      <c r="Y14" s="37"/>
      <c r="Z14" s="36"/>
      <c r="AA14" s="36"/>
      <c r="AB14" s="37"/>
      <c r="AC14" s="36"/>
      <c r="AD14" s="36"/>
      <c r="AE14" s="37"/>
      <c r="AF14" s="36"/>
      <c r="AG14" s="36"/>
      <c r="AH14" s="37"/>
      <c r="AI14" s="36"/>
      <c r="AJ14" s="36"/>
      <c r="AK14" s="37"/>
      <c r="AL14" s="36"/>
      <c r="AM14" s="36"/>
      <c r="AN14" s="37"/>
      <c r="AO14" s="36"/>
      <c r="AP14" s="36"/>
      <c r="AQ14" s="37"/>
      <c r="AR14" s="36"/>
      <c r="AS14" s="36"/>
      <c r="AT14" s="37"/>
      <c r="AU14" s="36"/>
      <c r="AV14" s="36"/>
      <c r="AW14" s="37"/>
      <c r="AX14" s="36"/>
      <c r="AY14" s="36"/>
      <c r="AZ14" s="37"/>
      <c r="BA14" s="36"/>
      <c r="BB14" s="36"/>
      <c r="BC14" s="37"/>
      <c r="BD14" s="36"/>
      <c r="BE14" s="36"/>
      <c r="BF14" s="37"/>
      <c r="BG14" s="36"/>
      <c r="BH14" s="36"/>
      <c r="BI14" s="37"/>
      <c r="BJ14" s="36"/>
      <c r="BK14" s="36"/>
      <c r="BL14" s="36"/>
      <c r="BM14" s="36"/>
      <c r="BN14" s="36"/>
    </row>
    <row r="15" spans="2:66" ht="12" customHeight="1" thickBot="1" x14ac:dyDescent="0.2">
      <c r="B15" s="36"/>
      <c r="C15" s="36"/>
      <c r="D15" s="36"/>
      <c r="E15" s="36"/>
      <c r="F15" s="36"/>
      <c r="G15" s="36"/>
      <c r="H15" s="36"/>
      <c r="I15" s="36"/>
      <c r="J15" s="36"/>
      <c r="K15" s="36"/>
      <c r="L15" s="36"/>
      <c r="M15" s="38"/>
      <c r="N15" s="36"/>
      <c r="O15" s="36"/>
      <c r="P15" s="36"/>
      <c r="Q15" s="36"/>
      <c r="R15" s="36"/>
      <c r="S15" s="37"/>
      <c r="T15" s="36"/>
      <c r="U15" s="36"/>
      <c r="V15" s="37"/>
      <c r="W15" s="36"/>
      <c r="X15" s="36"/>
      <c r="Y15" s="37"/>
      <c r="Z15" s="36"/>
      <c r="AA15" s="36"/>
      <c r="AB15" s="37"/>
      <c r="AC15" s="36"/>
      <c r="AD15" s="36"/>
      <c r="AE15" s="37"/>
      <c r="AF15" s="36"/>
      <c r="AG15" s="36"/>
      <c r="AH15" s="37"/>
      <c r="AI15" s="36"/>
      <c r="AJ15" s="36"/>
      <c r="AK15" s="37"/>
      <c r="AL15" s="36"/>
      <c r="AM15" s="36"/>
      <c r="AN15" s="37"/>
      <c r="AO15" s="36"/>
      <c r="AP15" s="36"/>
      <c r="AQ15" s="37"/>
      <c r="AR15" s="36"/>
      <c r="AS15" s="36"/>
      <c r="AT15" s="37"/>
      <c r="AU15" s="36"/>
      <c r="AV15" s="36"/>
      <c r="AW15" s="37"/>
      <c r="AX15" s="36"/>
      <c r="AY15" s="36"/>
      <c r="AZ15" s="37"/>
      <c r="BA15" s="36"/>
      <c r="BB15" s="36"/>
      <c r="BC15" s="37"/>
      <c r="BD15" s="36"/>
      <c r="BE15" s="36"/>
      <c r="BF15" s="37"/>
      <c r="BG15" s="36"/>
      <c r="BH15" s="36"/>
      <c r="BI15" s="37"/>
      <c r="BJ15" s="36"/>
      <c r="BK15" s="36"/>
      <c r="BL15" s="36"/>
      <c r="BM15" s="36"/>
      <c r="BN15" s="36"/>
    </row>
    <row r="16" spans="2:66" ht="27.75" customHeight="1" x14ac:dyDescent="0.15">
      <c r="B16" s="161" t="s">
        <v>0</v>
      </c>
      <c r="C16" s="162"/>
      <c r="D16" s="163"/>
      <c r="E16" s="169" t="s">
        <v>1</v>
      </c>
      <c r="F16" s="171" t="s">
        <v>2</v>
      </c>
      <c r="G16" s="162"/>
      <c r="H16" s="162"/>
      <c r="I16" s="162"/>
      <c r="J16" s="162"/>
      <c r="K16" s="162"/>
      <c r="L16" s="163"/>
      <c r="M16" s="182" t="s">
        <v>26</v>
      </c>
      <c r="N16" s="173" t="s">
        <v>3</v>
      </c>
      <c r="O16" s="173" t="s">
        <v>3</v>
      </c>
      <c r="P16" s="173" t="s">
        <v>3</v>
      </c>
      <c r="Q16" s="169" t="s">
        <v>21</v>
      </c>
      <c r="R16" s="175" t="s">
        <v>123</v>
      </c>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7"/>
      <c r="BN16" s="147" t="s">
        <v>9</v>
      </c>
    </row>
    <row r="17" spans="2:66" ht="83.1" customHeight="1" x14ac:dyDescent="0.15">
      <c r="B17" s="164"/>
      <c r="C17" s="165"/>
      <c r="D17" s="166"/>
      <c r="E17" s="170"/>
      <c r="F17" s="172"/>
      <c r="G17" s="165"/>
      <c r="H17" s="165"/>
      <c r="I17" s="165"/>
      <c r="J17" s="165"/>
      <c r="K17" s="165"/>
      <c r="L17" s="166"/>
      <c r="M17" s="183"/>
      <c r="N17" s="174"/>
      <c r="O17" s="174"/>
      <c r="P17" s="174"/>
      <c r="Q17" s="170"/>
      <c r="R17" s="149" t="s">
        <v>4</v>
      </c>
      <c r="S17" s="151" t="s">
        <v>5</v>
      </c>
      <c r="T17" s="152"/>
      <c r="U17" s="152"/>
      <c r="V17" s="151" t="s">
        <v>14</v>
      </c>
      <c r="W17" s="152"/>
      <c r="X17" s="152"/>
      <c r="Y17" s="151" t="s">
        <v>14</v>
      </c>
      <c r="Z17" s="152"/>
      <c r="AA17" s="152"/>
      <c r="AB17" s="155" t="s">
        <v>31</v>
      </c>
      <c r="AC17" s="152"/>
      <c r="AD17" s="152"/>
      <c r="AE17" s="155" t="s">
        <v>32</v>
      </c>
      <c r="AF17" s="152"/>
      <c r="AG17" s="152"/>
      <c r="AH17" s="155" t="s">
        <v>22</v>
      </c>
      <c r="AI17" s="152"/>
      <c r="AJ17" s="152"/>
      <c r="AK17" s="155" t="s">
        <v>33</v>
      </c>
      <c r="AL17" s="184"/>
      <c r="AM17" s="184"/>
      <c r="AN17" s="151" t="s">
        <v>6</v>
      </c>
      <c r="AO17" s="152"/>
      <c r="AP17" s="152"/>
      <c r="AQ17" s="155" t="s">
        <v>71</v>
      </c>
      <c r="AR17" s="152"/>
      <c r="AS17" s="152"/>
      <c r="AT17" s="155" t="s">
        <v>72</v>
      </c>
      <c r="AU17" s="152"/>
      <c r="AV17" s="152"/>
      <c r="AW17" s="155" t="s">
        <v>37</v>
      </c>
      <c r="AX17" s="152"/>
      <c r="AY17" s="152"/>
      <c r="AZ17" s="155" t="s">
        <v>38</v>
      </c>
      <c r="BA17" s="152"/>
      <c r="BB17" s="152"/>
      <c r="BC17" s="155" t="s">
        <v>39</v>
      </c>
      <c r="BD17" s="152"/>
      <c r="BE17" s="152"/>
      <c r="BF17" s="155" t="s">
        <v>40</v>
      </c>
      <c r="BG17" s="152"/>
      <c r="BH17" s="152"/>
      <c r="BI17" s="151" t="s">
        <v>7</v>
      </c>
      <c r="BJ17" s="152"/>
      <c r="BK17" s="152"/>
      <c r="BL17" s="178" t="s">
        <v>8</v>
      </c>
      <c r="BM17" s="180" t="s">
        <v>17</v>
      </c>
      <c r="BN17" s="148"/>
    </row>
    <row r="18" spans="2:66" ht="56.25" customHeight="1" thickBot="1" x14ac:dyDescent="0.2">
      <c r="B18" s="167"/>
      <c r="C18" s="154"/>
      <c r="D18" s="168"/>
      <c r="E18" s="4" t="s">
        <v>11</v>
      </c>
      <c r="F18" s="153" t="s">
        <v>24</v>
      </c>
      <c r="G18" s="154"/>
      <c r="H18" s="154"/>
      <c r="I18" s="154"/>
      <c r="J18" s="154"/>
      <c r="K18" s="154"/>
      <c r="L18" s="168"/>
      <c r="M18" s="26" t="s">
        <v>27</v>
      </c>
      <c r="N18" s="24" t="s">
        <v>23</v>
      </c>
      <c r="O18" s="24" t="s">
        <v>23</v>
      </c>
      <c r="P18" s="24" t="s">
        <v>23</v>
      </c>
      <c r="Q18" s="24" t="s">
        <v>25</v>
      </c>
      <c r="R18" s="150"/>
      <c r="S18" s="153"/>
      <c r="T18" s="154"/>
      <c r="U18" s="154"/>
      <c r="V18" s="153" t="s">
        <v>15</v>
      </c>
      <c r="W18" s="154"/>
      <c r="X18" s="154"/>
      <c r="Y18" s="153" t="s">
        <v>16</v>
      </c>
      <c r="Z18" s="154"/>
      <c r="AA18" s="154"/>
      <c r="AB18" s="153"/>
      <c r="AC18" s="154"/>
      <c r="AD18" s="154"/>
      <c r="AE18" s="153"/>
      <c r="AF18" s="154"/>
      <c r="AG18" s="154"/>
      <c r="AH18" s="153"/>
      <c r="AI18" s="154"/>
      <c r="AJ18" s="154"/>
      <c r="AK18" s="185"/>
      <c r="AL18" s="186"/>
      <c r="AM18" s="186"/>
      <c r="AN18" s="153"/>
      <c r="AO18" s="154"/>
      <c r="AP18" s="154"/>
      <c r="AQ18" s="153"/>
      <c r="AR18" s="154"/>
      <c r="AS18" s="154"/>
      <c r="AT18" s="153"/>
      <c r="AU18" s="154"/>
      <c r="AV18" s="154"/>
      <c r="AW18" s="153"/>
      <c r="AX18" s="154"/>
      <c r="AY18" s="154"/>
      <c r="AZ18" s="153"/>
      <c r="BA18" s="154"/>
      <c r="BB18" s="154"/>
      <c r="BC18" s="153"/>
      <c r="BD18" s="154"/>
      <c r="BE18" s="154"/>
      <c r="BF18" s="153"/>
      <c r="BG18" s="154"/>
      <c r="BH18" s="154"/>
      <c r="BI18" s="153"/>
      <c r="BJ18" s="154"/>
      <c r="BK18" s="154"/>
      <c r="BL18" s="179"/>
      <c r="BM18" s="181"/>
      <c r="BN18" s="12" t="s">
        <v>18</v>
      </c>
    </row>
    <row r="19" spans="2:66" ht="24.95" customHeight="1" x14ac:dyDescent="0.15">
      <c r="B19" s="125"/>
      <c r="C19" s="123" t="s">
        <v>10</v>
      </c>
      <c r="D19" s="127"/>
      <c r="E19" s="43"/>
      <c r="F19" s="48"/>
      <c r="G19" s="49" t="s">
        <v>12</v>
      </c>
      <c r="H19" s="50"/>
      <c r="I19" s="51" t="s">
        <v>13</v>
      </c>
      <c r="J19" s="49" t="s">
        <v>12</v>
      </c>
      <c r="K19" s="52" t="str">
        <f>IF(E19=0,"-",VLOOKUP(H19,データ!$B$21:$C$50,2))</f>
        <v>-</v>
      </c>
      <c r="L19" s="53"/>
      <c r="M19" s="196" t="str">
        <f>IF(E19&lt;75,"-",130)</f>
        <v>-</v>
      </c>
      <c r="N19" s="158" t="str">
        <f>IF(E19=0,"-",(IF((E19&lt;75),((0.0126+(0.01739-0.1087*(E19/1000))/SQRT(Q19))*Q19^2/((E19/1000)*2*9.8)*1000),0)))</f>
        <v>-</v>
      </c>
      <c r="O19" s="158" t="str">
        <f>IF(E19=0,"-",(IF((E19&gt;=75),((10.666*(M19)^-1.85*(E19/1000)^-4.87*(L20/60/1000)^1.85)*1000),0)))</f>
        <v>-</v>
      </c>
      <c r="P19" s="158" t="str">
        <f>IF(E19=0,"-",IF(N19&gt;O19,N19,O19))</f>
        <v>-</v>
      </c>
      <c r="Q19" s="159" t="str">
        <f>IF(E19=0,"-",ROUND(((L20/1000/60)/(((E19/1000)/2)^2*3.14)),2))</f>
        <v>-</v>
      </c>
      <c r="R19" s="51"/>
      <c r="S19" s="54" t="str">
        <f>IF(U19&gt;0,(IFERROR(VLOOKUP($E19,データ!$B$3:$Q$14,2,FALSE),"")),"")</f>
        <v/>
      </c>
      <c r="T19" s="49" t="s">
        <v>12</v>
      </c>
      <c r="U19" s="55"/>
      <c r="V19" s="54" t="str">
        <f>IF(X19&gt;0,(IFERROR(VLOOKUP($E19,データ!$B$3:$Q$14,3,FALSE),"")),"")</f>
        <v/>
      </c>
      <c r="W19" s="49" t="s">
        <v>76</v>
      </c>
      <c r="X19" s="55"/>
      <c r="Y19" s="54" t="str">
        <f>IF(AA19&gt;0,(IFERROR(VLOOKUP($E19,データ!$B$3:$Q$14,4,FALSE),"")),"")</f>
        <v/>
      </c>
      <c r="Z19" s="49" t="s">
        <v>76</v>
      </c>
      <c r="AA19" s="55"/>
      <c r="AB19" s="54" t="str">
        <f>IF(AD19&gt;0,(IFERROR(VLOOKUP($E19,データ!$B$3:$Q$14,5,FALSE),"")),"")</f>
        <v/>
      </c>
      <c r="AC19" s="49" t="s">
        <v>76</v>
      </c>
      <c r="AD19" s="55"/>
      <c r="AE19" s="54" t="str">
        <f>IF(AG19&gt;0,(IFERROR(VLOOKUP($E19,データ!$B$3:$Q$14,6,FALSE),"")),"")</f>
        <v/>
      </c>
      <c r="AF19" s="49" t="s">
        <v>76</v>
      </c>
      <c r="AG19" s="55"/>
      <c r="AH19" s="54" t="str">
        <f>IF(AJ19&gt;0,(IFERROR(VLOOKUP($E19,データ!$B$3:$Q$14,7,FALSE),"")),"")</f>
        <v/>
      </c>
      <c r="AI19" s="49" t="s">
        <v>76</v>
      </c>
      <c r="AJ19" s="55"/>
      <c r="AK19" s="54" t="str">
        <f>IF(AM19&gt;0,(IFERROR(VLOOKUP($E19,データ!$B$3:$Q$14,8,FALSE),"")),"")</f>
        <v/>
      </c>
      <c r="AL19" s="49" t="s">
        <v>76</v>
      </c>
      <c r="AM19" s="55"/>
      <c r="AN19" s="54" t="str">
        <f>IF(AP19&gt;0,(IFERROR(VLOOKUP($E19,データ!$B$3:$Q$14,9,FALSE),"")),"")</f>
        <v/>
      </c>
      <c r="AO19" s="49" t="s">
        <v>76</v>
      </c>
      <c r="AP19" s="55"/>
      <c r="AQ19" s="54" t="str">
        <f>IF(AS19&gt;0,(IFERROR(VLOOKUP($E19,データ!$B$3:$Q$14,10,FALSE),"")),"")</f>
        <v/>
      </c>
      <c r="AR19" s="49" t="s">
        <v>76</v>
      </c>
      <c r="AS19" s="55"/>
      <c r="AT19" s="54" t="str">
        <f>IF(AV19&gt;0,(IFERROR(VLOOKUP($E19,データ!$B$3:$Q$14,11,FALSE),"")),"")</f>
        <v/>
      </c>
      <c r="AU19" s="49" t="s">
        <v>76</v>
      </c>
      <c r="AV19" s="55"/>
      <c r="AW19" s="54" t="str">
        <f>IF(AY19&gt;0,(IFERROR(VLOOKUP($E19,データ!$B$3:$Q$14,12,FALSE),"")),"")</f>
        <v/>
      </c>
      <c r="AX19" s="49" t="s">
        <v>76</v>
      </c>
      <c r="AY19" s="55"/>
      <c r="AZ19" s="54" t="str">
        <f>IF(BB19&gt;0,(IFERROR(VLOOKUP($E19,データ!$B$3:$Q$14,13,FALSE),"")),"")</f>
        <v/>
      </c>
      <c r="BA19" s="49" t="s">
        <v>76</v>
      </c>
      <c r="BB19" s="55"/>
      <c r="BC19" s="54" t="str">
        <f>IF(BE19&gt;0,(IFERROR(VLOOKUP($E19,データ!$B$3:$Q$14,14,FALSE),"")),"")</f>
        <v/>
      </c>
      <c r="BD19" s="49" t="s">
        <v>76</v>
      </c>
      <c r="BE19" s="55"/>
      <c r="BF19" s="54" t="str">
        <f>IF(BH19&gt;0,(IFERROR(VLOOKUP($E19,データ!$B$3:$Q$14,15,FALSE),"")),"")</f>
        <v/>
      </c>
      <c r="BG19" s="49" t="s">
        <v>76</v>
      </c>
      <c r="BH19" s="55"/>
      <c r="BI19" s="54" t="str">
        <f>IF(BK19&gt;0,(IFERROR(VLOOKUP($E19,データ!$B$3:$Q$14,16,FALSE),"")),"")</f>
        <v/>
      </c>
      <c r="BJ19" s="49" t="s">
        <v>76</v>
      </c>
      <c r="BK19" s="56"/>
      <c r="BL19" s="145" t="str">
        <f>IF(E19=0,"-",(SUM(R20,S20,V20,Y20,AB20,AE20,AH20,AK20,AN20,AQ20,AT20,AW20,AZ20,BC20,BF20,BI20)))</f>
        <v>-</v>
      </c>
      <c r="BM19" s="144" t="str">
        <f>IF(E19=0,"-",(BL19*1.1))</f>
        <v>-</v>
      </c>
      <c r="BN19" s="141" t="str">
        <f>IF(E19=0,"-",(ROUND(((P19/1000)*BM19),2)))</f>
        <v>-</v>
      </c>
    </row>
    <row r="20" spans="2:66" ht="24.95" customHeight="1" x14ac:dyDescent="0.15">
      <c r="B20" s="126"/>
      <c r="C20" s="124"/>
      <c r="D20" s="128"/>
      <c r="E20" s="13" t="s">
        <v>41</v>
      </c>
      <c r="F20" s="57"/>
      <c r="G20" s="58"/>
      <c r="H20" s="59"/>
      <c r="I20" s="59"/>
      <c r="J20" s="59"/>
      <c r="K20" s="60"/>
      <c r="L20" s="61" t="str">
        <f>IF(E19=0,"-",F19*H19*K19)</f>
        <v>-</v>
      </c>
      <c r="M20" s="197"/>
      <c r="N20" s="121"/>
      <c r="O20" s="121"/>
      <c r="P20" s="121"/>
      <c r="Q20" s="160"/>
      <c r="R20" s="62"/>
      <c r="S20" s="110" t="str">
        <f>IFERROR((S19*U19),"")</f>
        <v/>
      </c>
      <c r="T20" s="111"/>
      <c r="U20" s="111"/>
      <c r="V20" s="110" t="str">
        <f t="shared" ref="V20" si="0">IFERROR((V19*X19),"")</f>
        <v/>
      </c>
      <c r="W20" s="111"/>
      <c r="X20" s="111"/>
      <c r="Y20" s="110" t="str">
        <f t="shared" ref="Y20" si="1">IFERROR((Y19*AA19),"")</f>
        <v/>
      </c>
      <c r="Z20" s="111"/>
      <c r="AA20" s="111"/>
      <c r="AB20" s="110" t="str">
        <f t="shared" ref="AB20" si="2">IFERROR((AB19*AD19),"")</f>
        <v/>
      </c>
      <c r="AC20" s="111"/>
      <c r="AD20" s="111"/>
      <c r="AE20" s="110" t="str">
        <f t="shared" ref="AE20" si="3">IFERROR((AE19*AG19),"")</f>
        <v/>
      </c>
      <c r="AF20" s="111"/>
      <c r="AG20" s="111"/>
      <c r="AH20" s="110" t="str">
        <f t="shared" ref="AH20" si="4">IFERROR((AH19*AJ19),"")</f>
        <v/>
      </c>
      <c r="AI20" s="111"/>
      <c r="AJ20" s="111"/>
      <c r="AK20" s="110" t="str">
        <f t="shared" ref="AK20" si="5">IFERROR((AK19*AM19),"")</f>
        <v/>
      </c>
      <c r="AL20" s="111"/>
      <c r="AM20" s="111"/>
      <c r="AN20" s="110" t="str">
        <f t="shared" ref="AN20" si="6">IFERROR((AN19*AP19),"")</f>
        <v/>
      </c>
      <c r="AO20" s="111"/>
      <c r="AP20" s="111"/>
      <c r="AQ20" s="110" t="str">
        <f t="shared" ref="AQ20" si="7">IFERROR((AQ19*AS19),"")</f>
        <v/>
      </c>
      <c r="AR20" s="111"/>
      <c r="AS20" s="111"/>
      <c r="AT20" s="110" t="str">
        <f t="shared" ref="AT20" si="8">IFERROR((AT19*AV19),"")</f>
        <v/>
      </c>
      <c r="AU20" s="111"/>
      <c r="AV20" s="111"/>
      <c r="AW20" s="110" t="str">
        <f t="shared" ref="AW20" si="9">IFERROR((AW19*AY19),"")</f>
        <v/>
      </c>
      <c r="AX20" s="111"/>
      <c r="AY20" s="111"/>
      <c r="AZ20" s="110" t="str">
        <f t="shared" ref="AZ20" si="10">IFERROR((AZ19*BB19),"")</f>
        <v/>
      </c>
      <c r="BA20" s="111"/>
      <c r="BB20" s="111"/>
      <c r="BC20" s="110" t="str">
        <f t="shared" ref="BC20" si="11">IFERROR((BC19*BE19),"")</f>
        <v/>
      </c>
      <c r="BD20" s="111"/>
      <c r="BE20" s="111"/>
      <c r="BF20" s="110" t="str">
        <f t="shared" ref="BF20" si="12">IFERROR((BF19*BH19),"")</f>
        <v/>
      </c>
      <c r="BG20" s="111"/>
      <c r="BH20" s="111"/>
      <c r="BI20" s="110" t="str">
        <f t="shared" ref="BI20" si="13">IFERROR((BI19*BK19),"")</f>
        <v/>
      </c>
      <c r="BJ20" s="111"/>
      <c r="BK20" s="146"/>
      <c r="BL20" s="133"/>
      <c r="BM20" s="135"/>
      <c r="BN20" s="137"/>
    </row>
    <row r="21" spans="2:66" ht="24.95" customHeight="1" x14ac:dyDescent="0.15">
      <c r="B21" s="129"/>
      <c r="C21" s="116" t="s">
        <v>74</v>
      </c>
      <c r="D21" s="118"/>
      <c r="E21" s="44"/>
      <c r="F21" s="63"/>
      <c r="G21" s="64" t="s">
        <v>12</v>
      </c>
      <c r="H21" s="65"/>
      <c r="I21" s="66" t="s">
        <v>13</v>
      </c>
      <c r="J21" s="64" t="s">
        <v>12</v>
      </c>
      <c r="K21" s="67" t="str">
        <f>IF(E21=0,"-",VLOOKUP(H21,データ!$B$21:$C$50,2))</f>
        <v>-</v>
      </c>
      <c r="L21" s="68"/>
      <c r="M21" s="198" t="str">
        <f t="shared" ref="M21" si="14">IF(E21&lt;75,"-",130)</f>
        <v>-</v>
      </c>
      <c r="N21" s="120" t="str">
        <f t="shared" ref="N21" si="15">IF(E21=0,"-",(IF((E21&lt;75),((0.0126+(0.01739-0.1087*(E21/1000))/SQRT(Q21))*Q21^2/((E21/1000)*2*9.8)*1000),0)))</f>
        <v>-</v>
      </c>
      <c r="O21" s="120" t="str">
        <f t="shared" ref="O21" si="16">IF(E21=0,"-",(IF((E21&gt;=75),((10.666*(M21)^-1.85*(E21/1000)^-4.87*(L22/60/1000)^1.85)*1000),0)))</f>
        <v>-</v>
      </c>
      <c r="P21" s="120" t="str">
        <f>IF(E21=0,"-",IF(N21&gt;O21,N21,O21))</f>
        <v>-</v>
      </c>
      <c r="Q21" s="139" t="str">
        <f t="shared" ref="Q21" si="17">IF(E21=0,"-",ROUND(((L22/1000/60)/(((E21/1000)/2)^2*3.14)),2))</f>
        <v>-</v>
      </c>
      <c r="R21" s="66"/>
      <c r="S21" s="69" t="str">
        <f>IF(U21&gt;0,(IFERROR(VLOOKUP($E21,データ!$B$3:$Q$14,2,FALSE),"")),"")</f>
        <v/>
      </c>
      <c r="T21" s="70" t="s">
        <v>76</v>
      </c>
      <c r="U21" s="71"/>
      <c r="V21" s="69" t="str">
        <f>IF(X21&gt;0,(IFERROR(VLOOKUP($E21,データ!$B$3:$Q$14,3,FALSE),"")),"")</f>
        <v/>
      </c>
      <c r="W21" s="70" t="s">
        <v>76</v>
      </c>
      <c r="X21" s="71"/>
      <c r="Y21" s="69" t="str">
        <f>IF(AA21&gt;0,(IFERROR(VLOOKUP($E21,データ!$B$3:$Q$14,4,FALSE),"")),"")</f>
        <v/>
      </c>
      <c r="Z21" s="70" t="s">
        <v>76</v>
      </c>
      <c r="AA21" s="71"/>
      <c r="AB21" s="69" t="str">
        <f>IF(AD21&gt;0,(IFERROR(VLOOKUP($E21,データ!$B$3:$Q$14,5,FALSE),"")),"")</f>
        <v/>
      </c>
      <c r="AC21" s="70" t="s">
        <v>76</v>
      </c>
      <c r="AD21" s="71"/>
      <c r="AE21" s="69" t="str">
        <f>IF(AG21&gt;0,(IFERROR(VLOOKUP($E21,データ!$B$3:$Q$14,6,FALSE),"")),"")</f>
        <v/>
      </c>
      <c r="AF21" s="70" t="s">
        <v>76</v>
      </c>
      <c r="AG21" s="71"/>
      <c r="AH21" s="69" t="str">
        <f>IF(AJ21&gt;0,(IFERROR(VLOOKUP($E21,データ!$B$3:$Q$14,7,FALSE),"")),"")</f>
        <v/>
      </c>
      <c r="AI21" s="70" t="s">
        <v>76</v>
      </c>
      <c r="AJ21" s="71"/>
      <c r="AK21" s="69" t="str">
        <f>IF(AM21&gt;0,(IFERROR(VLOOKUP($E21,データ!$B$3:$Q$14,8,FALSE),"")),"")</f>
        <v/>
      </c>
      <c r="AL21" s="70" t="s">
        <v>76</v>
      </c>
      <c r="AM21" s="71"/>
      <c r="AN21" s="69" t="str">
        <f>IF(AP21&gt;0,(IFERROR(VLOOKUP($E21,データ!$B$3:$Q$14,9,FALSE),"")),"")</f>
        <v/>
      </c>
      <c r="AO21" s="70" t="s">
        <v>76</v>
      </c>
      <c r="AP21" s="71"/>
      <c r="AQ21" s="69" t="str">
        <f>IF(AS21&gt;0,(IFERROR(VLOOKUP($E21,データ!$B$3:$Q$14,10,FALSE),"")),"")</f>
        <v/>
      </c>
      <c r="AR21" s="70" t="s">
        <v>76</v>
      </c>
      <c r="AS21" s="71"/>
      <c r="AT21" s="69" t="str">
        <f>IF(AV21&gt;0,(IFERROR(VLOOKUP($E21,データ!$B$3:$Q$14,11,FALSE),"")),"")</f>
        <v/>
      </c>
      <c r="AU21" s="70" t="s">
        <v>76</v>
      </c>
      <c r="AV21" s="71"/>
      <c r="AW21" s="69" t="str">
        <f>IF(AY21&gt;0,(IFERROR(VLOOKUP($E21,データ!$B$3:$Q$14,12,FALSE),"")),"")</f>
        <v/>
      </c>
      <c r="AX21" s="70" t="s">
        <v>76</v>
      </c>
      <c r="AY21" s="71"/>
      <c r="AZ21" s="69" t="str">
        <f>IF(BB21&gt;0,(IFERROR(VLOOKUP($E21,データ!$B$3:$Q$14,13,FALSE),"")),"")</f>
        <v/>
      </c>
      <c r="BA21" s="70" t="s">
        <v>76</v>
      </c>
      <c r="BB21" s="71"/>
      <c r="BC21" s="69" t="str">
        <f>IF(BE21&gt;0,(IFERROR(VLOOKUP($E21,データ!$B$3:$Q$14,14,FALSE),"")),"")</f>
        <v/>
      </c>
      <c r="BD21" s="70" t="s">
        <v>76</v>
      </c>
      <c r="BE21" s="71"/>
      <c r="BF21" s="69" t="str">
        <f>IF(BH21&gt;0,(IFERROR(VLOOKUP($E21,データ!$B$3:$Q$14,15,FALSE),"")),"")</f>
        <v/>
      </c>
      <c r="BG21" s="70" t="s">
        <v>76</v>
      </c>
      <c r="BH21" s="71"/>
      <c r="BI21" s="69" t="str">
        <f>IF(BK21&gt;0,(IFERROR(VLOOKUP($E21,データ!$B$3:$Q$14,16,FALSE),"")),"")</f>
        <v/>
      </c>
      <c r="BJ21" s="70" t="s">
        <v>76</v>
      </c>
      <c r="BK21" s="72"/>
      <c r="BL21" s="156" t="str">
        <f t="shared" ref="BL21" si="18">IF(E21=0,"-",(SUM(R22,S22,V22,Y22,AB22,AE22,AH22,AK22,AN22,AQ22,AT22,AW22,AZ22,BC22,BF22,BI22)))</f>
        <v>-</v>
      </c>
      <c r="BM21" s="157" t="str">
        <f t="shared" ref="BM21" si="19">IF(E21=0,"-",(BL21*1.1))</f>
        <v>-</v>
      </c>
      <c r="BN21" s="137" t="str">
        <f t="shared" ref="BN21" si="20">IF(E21=0,"-",(ROUND(((P21/1000)*BM21),2)))</f>
        <v>-</v>
      </c>
    </row>
    <row r="22" spans="2:66" ht="24.95" customHeight="1" x14ac:dyDescent="0.15">
      <c r="B22" s="130"/>
      <c r="C22" s="117"/>
      <c r="D22" s="119"/>
      <c r="E22" s="21" t="s">
        <v>41</v>
      </c>
      <c r="F22" s="73"/>
      <c r="G22" s="74"/>
      <c r="H22" s="75"/>
      <c r="I22" s="75"/>
      <c r="J22" s="75"/>
      <c r="K22" s="76"/>
      <c r="L22" s="61" t="str">
        <f>IF(E21=0,"-",F21*H21*K21)</f>
        <v>-</v>
      </c>
      <c r="M22" s="197"/>
      <c r="N22" s="121"/>
      <c r="O22" s="121"/>
      <c r="P22" s="121"/>
      <c r="Q22" s="140"/>
      <c r="R22" s="77"/>
      <c r="S22" s="110" t="str">
        <f>IFERROR((S21*U21),"")</f>
        <v/>
      </c>
      <c r="T22" s="111"/>
      <c r="U22" s="111"/>
      <c r="V22" s="110" t="str">
        <f t="shared" ref="V22" si="21">IFERROR((V21*X21),"")</f>
        <v/>
      </c>
      <c r="W22" s="111"/>
      <c r="X22" s="111"/>
      <c r="Y22" s="110" t="str">
        <f t="shared" ref="Y22" si="22">IFERROR((Y21*AA21),"")</f>
        <v/>
      </c>
      <c r="Z22" s="111"/>
      <c r="AA22" s="111"/>
      <c r="AB22" s="110" t="str">
        <f t="shared" ref="AB22" si="23">IFERROR((AB21*AD21),"")</f>
        <v/>
      </c>
      <c r="AC22" s="111"/>
      <c r="AD22" s="111"/>
      <c r="AE22" s="110" t="str">
        <f t="shared" ref="AE22" si="24">IFERROR((AE21*AG21),"")</f>
        <v/>
      </c>
      <c r="AF22" s="111"/>
      <c r="AG22" s="111"/>
      <c r="AH22" s="110" t="str">
        <f t="shared" ref="AH22" si="25">IFERROR((AH21*AJ21),"")</f>
        <v/>
      </c>
      <c r="AI22" s="111"/>
      <c r="AJ22" s="111"/>
      <c r="AK22" s="110" t="str">
        <f t="shared" ref="AK22" si="26">IFERROR((AK21*AM21),"")</f>
        <v/>
      </c>
      <c r="AL22" s="111"/>
      <c r="AM22" s="111"/>
      <c r="AN22" s="110" t="str">
        <f t="shared" ref="AN22" si="27">IFERROR((AN21*AP21),"")</f>
        <v/>
      </c>
      <c r="AO22" s="111"/>
      <c r="AP22" s="111"/>
      <c r="AQ22" s="110" t="str">
        <f t="shared" ref="AQ22" si="28">IFERROR((AQ21*AS21),"")</f>
        <v/>
      </c>
      <c r="AR22" s="111"/>
      <c r="AS22" s="111"/>
      <c r="AT22" s="110" t="str">
        <f t="shared" ref="AT22" si="29">IFERROR((AT21*AV21),"")</f>
        <v/>
      </c>
      <c r="AU22" s="111"/>
      <c r="AV22" s="111"/>
      <c r="AW22" s="110" t="str">
        <f t="shared" ref="AW22" si="30">IFERROR((AW21*AY21),"")</f>
        <v/>
      </c>
      <c r="AX22" s="111"/>
      <c r="AY22" s="111"/>
      <c r="AZ22" s="110" t="str">
        <f t="shared" ref="AZ22" si="31">IFERROR((AZ21*BB21),"")</f>
        <v/>
      </c>
      <c r="BA22" s="111"/>
      <c r="BB22" s="111"/>
      <c r="BC22" s="110" t="str">
        <f t="shared" ref="BC22" si="32">IFERROR((BC21*BE21),"")</f>
        <v/>
      </c>
      <c r="BD22" s="111"/>
      <c r="BE22" s="111"/>
      <c r="BF22" s="110" t="str">
        <f t="shared" ref="BF22" si="33">IFERROR((BF21*BH21),"")</f>
        <v/>
      </c>
      <c r="BG22" s="111"/>
      <c r="BH22" s="111"/>
      <c r="BI22" s="110" t="str">
        <f t="shared" ref="BI22" si="34">IFERROR((BI21*BK21),"")</f>
        <v/>
      </c>
      <c r="BJ22" s="111"/>
      <c r="BK22" s="146"/>
      <c r="BL22" s="156"/>
      <c r="BM22" s="157"/>
      <c r="BN22" s="137"/>
    </row>
    <row r="23" spans="2:66" ht="24.95" customHeight="1" x14ac:dyDescent="0.15">
      <c r="B23" s="129"/>
      <c r="C23" s="116" t="s">
        <v>74</v>
      </c>
      <c r="D23" s="118"/>
      <c r="E23" s="43"/>
      <c r="F23" s="63"/>
      <c r="G23" s="64" t="s">
        <v>12</v>
      </c>
      <c r="H23" s="65"/>
      <c r="I23" s="66" t="s">
        <v>13</v>
      </c>
      <c r="J23" s="64" t="s">
        <v>12</v>
      </c>
      <c r="K23" s="67" t="str">
        <f>IF(E23=0,"-",VLOOKUP(H23,データ!$B$21:$C$50,2))</f>
        <v>-</v>
      </c>
      <c r="L23" s="68"/>
      <c r="M23" s="198" t="str">
        <f t="shared" ref="M23" si="35">IF(E23&lt;75,"-",130)</f>
        <v>-</v>
      </c>
      <c r="N23" s="120" t="str">
        <f t="shared" ref="N23" si="36">IF(E23=0,"-",(IF((E23&lt;75),((0.0126+(0.01739-0.1087*(E23/1000))/SQRT(Q23))*Q23^2/((E23/1000)*2*9.8)*1000),0)))</f>
        <v>-</v>
      </c>
      <c r="O23" s="120" t="str">
        <f t="shared" ref="O23" si="37">IF(E23=0,"-",(IF((E23&gt;=75),((10.666*(M23)^-1.85*(E23/1000)^-4.87*(L24/60/1000)^1.85)*1000),0)))</f>
        <v>-</v>
      </c>
      <c r="P23" s="120" t="str">
        <f t="shared" ref="P23" si="38">IF(E23=0,"-",IF(N23&gt;O23,N23,O23))</f>
        <v>-</v>
      </c>
      <c r="Q23" s="139" t="str">
        <f t="shared" ref="Q23" si="39">IF(E23=0,"-",ROUND(((L24/1000/60)/(((E23/1000)/2)^2*3.14)),2))</f>
        <v>-</v>
      </c>
      <c r="R23" s="66"/>
      <c r="S23" s="69" t="str">
        <f>IF(U23&gt;0,(IFERROR(VLOOKUP($E23,データ!$B$3:$Q$14,2,FALSE),"")),"")</f>
        <v/>
      </c>
      <c r="T23" s="70" t="s">
        <v>76</v>
      </c>
      <c r="U23" s="71"/>
      <c r="V23" s="69" t="str">
        <f>IF(X23&gt;0,(IFERROR(VLOOKUP($E23,データ!$B$3:$Q$14,3,FALSE),"")),"")</f>
        <v/>
      </c>
      <c r="W23" s="70" t="s">
        <v>76</v>
      </c>
      <c r="X23" s="71"/>
      <c r="Y23" s="69" t="str">
        <f>IF(AA23&gt;0,(IFERROR(VLOOKUP($E23,データ!$B$3:$Q$14,4,FALSE),"")),"")</f>
        <v/>
      </c>
      <c r="Z23" s="70" t="s">
        <v>76</v>
      </c>
      <c r="AA23" s="71"/>
      <c r="AB23" s="69" t="str">
        <f>IF(AD23&gt;0,(IFERROR(VLOOKUP($E23,データ!$B$3:$Q$14,5,FALSE),"")),"")</f>
        <v/>
      </c>
      <c r="AC23" s="70" t="s">
        <v>76</v>
      </c>
      <c r="AD23" s="71"/>
      <c r="AE23" s="69" t="str">
        <f>IF(AG23&gt;0,(IFERROR(VLOOKUP($E23,データ!$B$3:$Q$14,6,FALSE),"")),"")</f>
        <v/>
      </c>
      <c r="AF23" s="70" t="s">
        <v>76</v>
      </c>
      <c r="AG23" s="71"/>
      <c r="AH23" s="69" t="str">
        <f>IF(AJ23&gt;0,(IFERROR(VLOOKUP($E23,データ!$B$3:$Q$14,7,FALSE),"")),"")</f>
        <v/>
      </c>
      <c r="AI23" s="70" t="s">
        <v>76</v>
      </c>
      <c r="AJ23" s="71"/>
      <c r="AK23" s="69" t="str">
        <f>IF(AM23&gt;0,(IFERROR(VLOOKUP($E23,データ!$B$3:$Q$14,8,FALSE),"")),"")</f>
        <v/>
      </c>
      <c r="AL23" s="70" t="s">
        <v>76</v>
      </c>
      <c r="AM23" s="71"/>
      <c r="AN23" s="69" t="str">
        <f>IF(AP23&gt;0,(IFERROR(VLOOKUP($E23,データ!$B$3:$Q$14,9,FALSE),"")),"")</f>
        <v/>
      </c>
      <c r="AO23" s="70" t="s">
        <v>76</v>
      </c>
      <c r="AP23" s="71"/>
      <c r="AQ23" s="69" t="str">
        <f>IF(AS23&gt;0,(IFERROR(VLOOKUP($E23,データ!$B$3:$Q$14,10,FALSE),"")),"")</f>
        <v/>
      </c>
      <c r="AR23" s="70" t="s">
        <v>76</v>
      </c>
      <c r="AS23" s="71"/>
      <c r="AT23" s="69" t="str">
        <f>IF(AV23&gt;0,(IFERROR(VLOOKUP($E23,データ!$B$3:$Q$14,11,FALSE),"")),"")</f>
        <v/>
      </c>
      <c r="AU23" s="70" t="s">
        <v>76</v>
      </c>
      <c r="AV23" s="71"/>
      <c r="AW23" s="69" t="str">
        <f>IF(AY23&gt;0,(IFERROR(VLOOKUP($E23,データ!$B$3:$Q$14,12,FALSE),"")),"")</f>
        <v/>
      </c>
      <c r="AX23" s="70" t="s">
        <v>76</v>
      </c>
      <c r="AY23" s="71"/>
      <c r="AZ23" s="69" t="str">
        <f>IF(BB23&gt;0,(IFERROR(VLOOKUP($E23,データ!$B$3:$Q$14,13,FALSE),"")),"")</f>
        <v/>
      </c>
      <c r="BA23" s="70" t="s">
        <v>76</v>
      </c>
      <c r="BB23" s="71"/>
      <c r="BC23" s="69" t="str">
        <f>IF(BE23&gt;0,(IFERROR(VLOOKUP($E23,データ!$B$3:$Q$14,14,FALSE),"")),"")</f>
        <v/>
      </c>
      <c r="BD23" s="70" t="s">
        <v>76</v>
      </c>
      <c r="BE23" s="71"/>
      <c r="BF23" s="69" t="str">
        <f>IF(BH23&gt;0,(IFERROR(VLOOKUP($E23,データ!$B$3:$Q$14,15,FALSE),"")),"")</f>
        <v/>
      </c>
      <c r="BG23" s="70" t="s">
        <v>76</v>
      </c>
      <c r="BH23" s="71"/>
      <c r="BI23" s="69" t="str">
        <f>IF(BK23&gt;0,(IFERROR(VLOOKUP($E23,データ!$B$3:$Q$14,16,FALSE),"")),"")</f>
        <v/>
      </c>
      <c r="BJ23" s="70" t="s">
        <v>76</v>
      </c>
      <c r="BK23" s="72"/>
      <c r="BL23" s="156" t="str">
        <f t="shared" ref="BL23" si="40">IF(E23=0,"-",(SUM(R24,S24,V24,Y24,AB24,AE24,AH24,AK24,AN24,AQ24,AT24,AW24,AZ24,BC24,BF24,BI24)))</f>
        <v>-</v>
      </c>
      <c r="BM23" s="157" t="str">
        <f t="shared" ref="BM23" si="41">IF(E23=0,"-",(BL23*1.1))</f>
        <v>-</v>
      </c>
      <c r="BN23" s="141" t="str">
        <f t="shared" ref="BN23" si="42">IF(E23=0,"-",(ROUND(((P23/1000)*BM23),2)))</f>
        <v>-</v>
      </c>
    </row>
    <row r="24" spans="2:66" ht="24.95" customHeight="1" x14ac:dyDescent="0.15">
      <c r="B24" s="130"/>
      <c r="C24" s="117"/>
      <c r="D24" s="119"/>
      <c r="E24" s="21" t="s">
        <v>41</v>
      </c>
      <c r="F24" s="73"/>
      <c r="G24" s="74"/>
      <c r="H24" s="75"/>
      <c r="I24" s="75"/>
      <c r="J24" s="75"/>
      <c r="K24" s="76"/>
      <c r="L24" s="61" t="str">
        <f>IF(E23=0,"-",F23*H23*K23)</f>
        <v>-</v>
      </c>
      <c r="M24" s="197"/>
      <c r="N24" s="121"/>
      <c r="O24" s="121"/>
      <c r="P24" s="121"/>
      <c r="Q24" s="140"/>
      <c r="R24" s="77"/>
      <c r="S24" s="110" t="str">
        <f>IFERROR((S23*U23),"")</f>
        <v/>
      </c>
      <c r="T24" s="111"/>
      <c r="U24" s="111"/>
      <c r="V24" s="110" t="str">
        <f t="shared" ref="V24" si="43">IFERROR((V23*X23),"")</f>
        <v/>
      </c>
      <c r="W24" s="111"/>
      <c r="X24" s="111"/>
      <c r="Y24" s="110" t="str">
        <f t="shared" ref="Y24" si="44">IFERROR((Y23*AA23),"")</f>
        <v/>
      </c>
      <c r="Z24" s="111"/>
      <c r="AA24" s="111"/>
      <c r="AB24" s="110" t="str">
        <f t="shared" ref="AB24" si="45">IFERROR((AB23*AD23),"")</f>
        <v/>
      </c>
      <c r="AC24" s="111"/>
      <c r="AD24" s="111"/>
      <c r="AE24" s="110" t="str">
        <f t="shared" ref="AE24" si="46">IFERROR((AE23*AG23),"")</f>
        <v/>
      </c>
      <c r="AF24" s="111"/>
      <c r="AG24" s="111"/>
      <c r="AH24" s="110" t="str">
        <f t="shared" ref="AH24" si="47">IFERROR((AH23*AJ23),"")</f>
        <v/>
      </c>
      <c r="AI24" s="111"/>
      <c r="AJ24" s="111"/>
      <c r="AK24" s="110" t="str">
        <f t="shared" ref="AK24" si="48">IFERROR((AK23*AM23),"")</f>
        <v/>
      </c>
      <c r="AL24" s="111"/>
      <c r="AM24" s="111"/>
      <c r="AN24" s="110" t="str">
        <f t="shared" ref="AN24" si="49">IFERROR((AN23*AP23),"")</f>
        <v/>
      </c>
      <c r="AO24" s="111"/>
      <c r="AP24" s="111"/>
      <c r="AQ24" s="110" t="str">
        <f t="shared" ref="AQ24" si="50">IFERROR((AQ23*AS23),"")</f>
        <v/>
      </c>
      <c r="AR24" s="111"/>
      <c r="AS24" s="111"/>
      <c r="AT24" s="110" t="str">
        <f t="shared" ref="AT24" si="51">IFERROR((AT23*AV23),"")</f>
        <v/>
      </c>
      <c r="AU24" s="111"/>
      <c r="AV24" s="111"/>
      <c r="AW24" s="110" t="str">
        <f t="shared" ref="AW24" si="52">IFERROR((AW23*AY23),"")</f>
        <v/>
      </c>
      <c r="AX24" s="111"/>
      <c r="AY24" s="111"/>
      <c r="AZ24" s="110" t="str">
        <f t="shared" ref="AZ24" si="53">IFERROR((AZ23*BB23),"")</f>
        <v/>
      </c>
      <c r="BA24" s="111"/>
      <c r="BB24" s="111"/>
      <c r="BC24" s="110" t="str">
        <f t="shared" ref="BC24" si="54">IFERROR((BC23*BE23),"")</f>
        <v/>
      </c>
      <c r="BD24" s="111"/>
      <c r="BE24" s="111"/>
      <c r="BF24" s="110" t="str">
        <f t="shared" ref="BF24" si="55">IFERROR((BF23*BH23),"")</f>
        <v/>
      </c>
      <c r="BG24" s="111"/>
      <c r="BH24" s="111"/>
      <c r="BI24" s="110" t="str">
        <f t="shared" ref="BI24" si="56">IFERROR((BI23*BK23),"")</f>
        <v/>
      </c>
      <c r="BJ24" s="111"/>
      <c r="BK24" s="146"/>
      <c r="BL24" s="156"/>
      <c r="BM24" s="157"/>
      <c r="BN24" s="137"/>
    </row>
    <row r="25" spans="2:66" ht="24.95" customHeight="1" x14ac:dyDescent="0.15">
      <c r="B25" s="129"/>
      <c r="C25" s="116" t="s">
        <v>74</v>
      </c>
      <c r="D25" s="118"/>
      <c r="E25" s="43"/>
      <c r="F25" s="63"/>
      <c r="G25" s="64" t="s">
        <v>12</v>
      </c>
      <c r="H25" s="65"/>
      <c r="I25" s="66" t="s">
        <v>13</v>
      </c>
      <c r="J25" s="64" t="s">
        <v>12</v>
      </c>
      <c r="K25" s="67" t="str">
        <f>IF(E25=0,"-",VLOOKUP(H25,データ!$B$21:$C$50,2))</f>
        <v>-</v>
      </c>
      <c r="L25" s="68"/>
      <c r="M25" s="198" t="str">
        <f t="shared" ref="M25" si="57">IF(E25&lt;75,"-",130)</f>
        <v>-</v>
      </c>
      <c r="N25" s="120" t="str">
        <f t="shared" ref="N25" si="58">IF(E25=0,"-",(IF((E25&lt;75),((0.0126+(0.01739-0.1087*(E25/1000))/SQRT(Q25))*Q25^2/((E25/1000)*2*9.8)*1000),0)))</f>
        <v>-</v>
      </c>
      <c r="O25" s="120" t="str">
        <f t="shared" ref="O25" si="59">IF(E25=0,"-",(IF((E25&gt;=75),((10.666*(M25)^-1.85*(E25/1000)^-4.87*(L26/60/1000)^1.85)*1000),0)))</f>
        <v>-</v>
      </c>
      <c r="P25" s="120" t="str">
        <f t="shared" ref="P25" si="60">IF(E25=0,"-",IF(N25&gt;O25,N25,O25))</f>
        <v>-</v>
      </c>
      <c r="Q25" s="139" t="str">
        <f t="shared" ref="Q25" si="61">IF(E25=0,"-",ROUND(((L26/1000/60)/(((E25/1000)/2)^2*3.14)),2))</f>
        <v>-</v>
      </c>
      <c r="R25" s="66"/>
      <c r="S25" s="69" t="str">
        <f>IF(U25&gt;0,(IFERROR(VLOOKUP($E25,データ!$B$3:$Q$14,2,FALSE),"")),"")</f>
        <v/>
      </c>
      <c r="T25" s="70" t="s">
        <v>76</v>
      </c>
      <c r="U25" s="71"/>
      <c r="V25" s="69" t="str">
        <f>IF(X25&gt;0,(IFERROR(VLOOKUP($E25,データ!$B$3:$Q$14,3,FALSE),"")),"")</f>
        <v/>
      </c>
      <c r="W25" s="70" t="s">
        <v>76</v>
      </c>
      <c r="X25" s="71"/>
      <c r="Y25" s="69" t="str">
        <f>IF(AA25&gt;0,(IFERROR(VLOOKUP($E25,データ!$B$3:$Q$14,4,FALSE),"")),"")</f>
        <v/>
      </c>
      <c r="Z25" s="70" t="s">
        <v>76</v>
      </c>
      <c r="AA25" s="71"/>
      <c r="AB25" s="69" t="str">
        <f>IF(AD25&gt;0,(IFERROR(VLOOKUP($E25,データ!$B$3:$Q$14,5,FALSE),"")),"")</f>
        <v/>
      </c>
      <c r="AC25" s="70" t="s">
        <v>76</v>
      </c>
      <c r="AD25" s="71"/>
      <c r="AE25" s="69" t="str">
        <f>IF(AG25&gt;0,(IFERROR(VLOOKUP($E25,データ!$B$3:$Q$14,6,FALSE),"")),"")</f>
        <v/>
      </c>
      <c r="AF25" s="70" t="s">
        <v>76</v>
      </c>
      <c r="AG25" s="71"/>
      <c r="AH25" s="69" t="str">
        <f>IF(AJ25&gt;0,(IFERROR(VLOOKUP($E25,データ!$B$3:$Q$14,7,FALSE),"")),"")</f>
        <v/>
      </c>
      <c r="AI25" s="70" t="s">
        <v>76</v>
      </c>
      <c r="AJ25" s="71"/>
      <c r="AK25" s="69" t="str">
        <f>IF(AM25&gt;0,(IFERROR(VLOOKUP($E25,データ!$B$3:$Q$14,8,FALSE),"")),"")</f>
        <v/>
      </c>
      <c r="AL25" s="70" t="s">
        <v>76</v>
      </c>
      <c r="AM25" s="71"/>
      <c r="AN25" s="69" t="str">
        <f>IF(AP25&gt;0,(IFERROR(VLOOKUP($E25,データ!$B$3:$Q$14,9,FALSE),"")),"")</f>
        <v/>
      </c>
      <c r="AO25" s="70" t="s">
        <v>76</v>
      </c>
      <c r="AP25" s="71"/>
      <c r="AQ25" s="69" t="str">
        <f>IF(AS25&gt;0,(IFERROR(VLOOKUP($E25,データ!$B$3:$Q$14,10,FALSE),"")),"")</f>
        <v/>
      </c>
      <c r="AR25" s="70" t="s">
        <v>76</v>
      </c>
      <c r="AS25" s="71"/>
      <c r="AT25" s="69" t="str">
        <f>IF(AV25&gt;0,(IFERROR(VLOOKUP($E25,データ!$B$3:$Q$14,11,FALSE),"")),"")</f>
        <v/>
      </c>
      <c r="AU25" s="70" t="s">
        <v>76</v>
      </c>
      <c r="AV25" s="71"/>
      <c r="AW25" s="69" t="str">
        <f>IF(AY25&gt;0,(IFERROR(VLOOKUP($E25,データ!$B$3:$Q$14,12,FALSE),"")),"")</f>
        <v/>
      </c>
      <c r="AX25" s="70" t="s">
        <v>76</v>
      </c>
      <c r="AY25" s="71"/>
      <c r="AZ25" s="69" t="str">
        <f>IF(BB25&gt;0,(IFERROR(VLOOKUP($E25,データ!$B$3:$Q$14,13,FALSE),"")),"")</f>
        <v/>
      </c>
      <c r="BA25" s="70" t="s">
        <v>76</v>
      </c>
      <c r="BB25" s="71"/>
      <c r="BC25" s="69" t="str">
        <f>IF(BE25&gt;0,(IFERROR(VLOOKUP($E25,データ!$B$3:$Q$14,14,FALSE),"")),"")</f>
        <v/>
      </c>
      <c r="BD25" s="70" t="s">
        <v>76</v>
      </c>
      <c r="BE25" s="71"/>
      <c r="BF25" s="69" t="str">
        <f>IF(BH25&gt;0,(IFERROR(VLOOKUP($E25,データ!$B$3:$Q$14,15,FALSE),"")),"")</f>
        <v/>
      </c>
      <c r="BG25" s="70" t="s">
        <v>76</v>
      </c>
      <c r="BH25" s="71"/>
      <c r="BI25" s="69" t="str">
        <f>IF(BK25&gt;0,(IFERROR(VLOOKUP($E25,データ!$B$3:$Q$14,16,FALSE),"")),"")</f>
        <v/>
      </c>
      <c r="BJ25" s="70" t="s">
        <v>76</v>
      </c>
      <c r="BK25" s="72"/>
      <c r="BL25" s="145" t="str">
        <f t="shared" ref="BL25" si="62">IF(E25=0,"-",(SUM(R26,S26,V26,Y26,AB26,AE26,AH26,AK26,AN26,AQ26,AT26,AW26,AZ26,BC26,BF26,BI26)))</f>
        <v>-</v>
      </c>
      <c r="BM25" s="144" t="str">
        <f t="shared" ref="BM25" si="63">IF(E25=0,"-",(BL25*1.1))</f>
        <v>-</v>
      </c>
      <c r="BN25" s="141" t="str">
        <f t="shared" ref="BN25" si="64">IF(E25=0,"-",(ROUND(((P25/1000)*BM25),2)))</f>
        <v>-</v>
      </c>
    </row>
    <row r="26" spans="2:66" ht="24.95" customHeight="1" x14ac:dyDescent="0.15">
      <c r="B26" s="130"/>
      <c r="C26" s="117"/>
      <c r="D26" s="119"/>
      <c r="E26" s="21" t="s">
        <v>41</v>
      </c>
      <c r="F26" s="73"/>
      <c r="G26" s="74"/>
      <c r="H26" s="75"/>
      <c r="I26" s="75"/>
      <c r="J26" s="75"/>
      <c r="K26" s="76"/>
      <c r="L26" s="61" t="str">
        <f>IF(E25=0,"-",F25*H25*K25)</f>
        <v>-</v>
      </c>
      <c r="M26" s="197"/>
      <c r="N26" s="121"/>
      <c r="O26" s="121"/>
      <c r="P26" s="121"/>
      <c r="Q26" s="140"/>
      <c r="R26" s="77"/>
      <c r="S26" s="110" t="str">
        <f>IFERROR((S25*U25),"")</f>
        <v/>
      </c>
      <c r="T26" s="111"/>
      <c r="U26" s="111"/>
      <c r="V26" s="110" t="str">
        <f t="shared" ref="V26" si="65">IFERROR((V25*X25),"")</f>
        <v/>
      </c>
      <c r="W26" s="111"/>
      <c r="X26" s="111"/>
      <c r="Y26" s="110" t="str">
        <f t="shared" ref="Y26" si="66">IFERROR((Y25*AA25),"")</f>
        <v/>
      </c>
      <c r="Z26" s="111"/>
      <c r="AA26" s="111"/>
      <c r="AB26" s="110" t="str">
        <f t="shared" ref="AB26" si="67">IFERROR((AB25*AD25),"")</f>
        <v/>
      </c>
      <c r="AC26" s="111"/>
      <c r="AD26" s="111"/>
      <c r="AE26" s="110" t="str">
        <f t="shared" ref="AE26" si="68">IFERROR((AE25*AG25),"")</f>
        <v/>
      </c>
      <c r="AF26" s="111"/>
      <c r="AG26" s="111"/>
      <c r="AH26" s="110" t="str">
        <f t="shared" ref="AH26" si="69">IFERROR((AH25*AJ25),"")</f>
        <v/>
      </c>
      <c r="AI26" s="111"/>
      <c r="AJ26" s="111"/>
      <c r="AK26" s="110" t="str">
        <f t="shared" ref="AK26" si="70">IFERROR((AK25*AM25),"")</f>
        <v/>
      </c>
      <c r="AL26" s="111"/>
      <c r="AM26" s="111"/>
      <c r="AN26" s="110" t="str">
        <f t="shared" ref="AN26" si="71">IFERROR((AN25*AP25),"")</f>
        <v/>
      </c>
      <c r="AO26" s="111"/>
      <c r="AP26" s="111"/>
      <c r="AQ26" s="110" t="str">
        <f t="shared" ref="AQ26" si="72">IFERROR((AQ25*AS25),"")</f>
        <v/>
      </c>
      <c r="AR26" s="111"/>
      <c r="AS26" s="111"/>
      <c r="AT26" s="110" t="str">
        <f t="shared" ref="AT26" si="73">IFERROR((AT25*AV25),"")</f>
        <v/>
      </c>
      <c r="AU26" s="111"/>
      <c r="AV26" s="111"/>
      <c r="AW26" s="110" t="str">
        <f t="shared" ref="AW26" si="74">IFERROR((AW25*AY25),"")</f>
        <v/>
      </c>
      <c r="AX26" s="111"/>
      <c r="AY26" s="111"/>
      <c r="AZ26" s="110" t="str">
        <f t="shared" ref="AZ26" si="75">IFERROR((AZ25*BB25),"")</f>
        <v/>
      </c>
      <c r="BA26" s="111"/>
      <c r="BB26" s="111"/>
      <c r="BC26" s="110" t="str">
        <f t="shared" ref="BC26" si="76">IFERROR((BC25*BE25),"")</f>
        <v/>
      </c>
      <c r="BD26" s="111"/>
      <c r="BE26" s="111"/>
      <c r="BF26" s="110" t="str">
        <f t="shared" ref="BF26" si="77">IFERROR((BF25*BH25),"")</f>
        <v/>
      </c>
      <c r="BG26" s="111"/>
      <c r="BH26" s="111"/>
      <c r="BI26" s="110" t="str">
        <f t="shared" ref="BI26" si="78">IFERROR((BI25*BK25),"")</f>
        <v/>
      </c>
      <c r="BJ26" s="111"/>
      <c r="BK26" s="146"/>
      <c r="BL26" s="133"/>
      <c r="BM26" s="135"/>
      <c r="BN26" s="137"/>
    </row>
    <row r="27" spans="2:66" ht="24.95" customHeight="1" x14ac:dyDescent="0.15">
      <c r="B27" s="129"/>
      <c r="C27" s="116" t="s">
        <v>74</v>
      </c>
      <c r="D27" s="118"/>
      <c r="E27" s="43"/>
      <c r="F27" s="63"/>
      <c r="G27" s="64" t="s">
        <v>12</v>
      </c>
      <c r="H27" s="65"/>
      <c r="I27" s="66" t="s">
        <v>13</v>
      </c>
      <c r="J27" s="64" t="s">
        <v>12</v>
      </c>
      <c r="K27" s="67" t="str">
        <f>IF(E27=0,"-",VLOOKUP(H27,データ!$B$21:$C$50,2))</f>
        <v>-</v>
      </c>
      <c r="L27" s="68"/>
      <c r="M27" s="198" t="str">
        <f t="shared" ref="M27" si="79">IF(E27&lt;75,"-",130)</f>
        <v>-</v>
      </c>
      <c r="N27" s="120" t="str">
        <f t="shared" ref="N27" si="80">IF(E27=0,"-",(IF((E27&lt;75),((0.0126+(0.01739-0.1087*(E27/1000))/SQRT(Q27))*Q27^2/((E27/1000)*2*9.8)*1000),0)))</f>
        <v>-</v>
      </c>
      <c r="O27" s="120" t="str">
        <f t="shared" ref="O27" si="81">IF(E27=0,"-",(IF((E27&gt;=75),((10.666*(M27)^-1.85*(E27/1000)^-4.87*(L28/60/1000)^1.85)*1000),0)))</f>
        <v>-</v>
      </c>
      <c r="P27" s="120" t="str">
        <f t="shared" ref="P27" si="82">IF(E27=0,"-",IF(N27&gt;O27,N27,O27))</f>
        <v>-</v>
      </c>
      <c r="Q27" s="139" t="str">
        <f t="shared" ref="Q27" si="83">IF(E27=0,"-",ROUND(((L28/1000/60)/(((E27/1000)/2)^2*3.14)),2))</f>
        <v>-</v>
      </c>
      <c r="R27" s="66"/>
      <c r="S27" s="69" t="str">
        <f>IF(U27&gt;0,(IFERROR(VLOOKUP($E27,データ!$B$3:$Q$14,2,FALSE),"")),"")</f>
        <v/>
      </c>
      <c r="T27" s="70" t="s">
        <v>76</v>
      </c>
      <c r="U27" s="71"/>
      <c r="V27" s="69" t="str">
        <f>IF(X27&gt;0,(IFERROR(VLOOKUP($E27,データ!$B$3:$Q$14,3,FALSE),"")),"")</f>
        <v/>
      </c>
      <c r="W27" s="70" t="s">
        <v>76</v>
      </c>
      <c r="X27" s="71"/>
      <c r="Y27" s="69" t="str">
        <f>IF(AA27&gt;0,(IFERROR(VLOOKUP($E27,データ!$B$3:$Q$14,4,FALSE),"")),"")</f>
        <v/>
      </c>
      <c r="Z27" s="70" t="s">
        <v>76</v>
      </c>
      <c r="AA27" s="71"/>
      <c r="AB27" s="69" t="str">
        <f>IF(AD27&gt;0,(IFERROR(VLOOKUP($E27,データ!$B$3:$Q$14,5,FALSE),"")),"")</f>
        <v/>
      </c>
      <c r="AC27" s="70" t="s">
        <v>76</v>
      </c>
      <c r="AD27" s="71"/>
      <c r="AE27" s="69" t="str">
        <f>IF(AG27&gt;0,(IFERROR(VLOOKUP($E27,データ!$B$3:$Q$14,6,FALSE),"")),"")</f>
        <v/>
      </c>
      <c r="AF27" s="70" t="s">
        <v>76</v>
      </c>
      <c r="AG27" s="71"/>
      <c r="AH27" s="69" t="str">
        <f>IF(AJ27&gt;0,(IFERROR(VLOOKUP($E27,データ!$B$3:$Q$14,7,FALSE),"")),"")</f>
        <v/>
      </c>
      <c r="AI27" s="70" t="s">
        <v>76</v>
      </c>
      <c r="AJ27" s="71"/>
      <c r="AK27" s="69" t="str">
        <f>IF(AM27&gt;0,(IFERROR(VLOOKUP($E27,データ!$B$3:$Q$14,8,FALSE),"")),"")</f>
        <v/>
      </c>
      <c r="AL27" s="70" t="s">
        <v>76</v>
      </c>
      <c r="AM27" s="71"/>
      <c r="AN27" s="69" t="str">
        <f>IF(AP27&gt;0,(IFERROR(VLOOKUP($E27,データ!$B$3:$Q$14,9,FALSE),"")),"")</f>
        <v/>
      </c>
      <c r="AO27" s="70" t="s">
        <v>76</v>
      </c>
      <c r="AP27" s="71"/>
      <c r="AQ27" s="69" t="str">
        <f>IF(AS27&gt;0,(IFERROR(VLOOKUP($E27,データ!$B$3:$Q$14,10,FALSE),"")),"")</f>
        <v/>
      </c>
      <c r="AR27" s="70" t="s">
        <v>76</v>
      </c>
      <c r="AS27" s="71"/>
      <c r="AT27" s="69" t="str">
        <f>IF(AV27&gt;0,(IFERROR(VLOOKUP($E27,データ!$B$3:$Q$14,11,FALSE),"")),"")</f>
        <v/>
      </c>
      <c r="AU27" s="70" t="s">
        <v>76</v>
      </c>
      <c r="AV27" s="71"/>
      <c r="AW27" s="69" t="str">
        <f>IF(AY27&gt;0,(IFERROR(VLOOKUP($E27,データ!$B$3:$Q$14,12,FALSE),"")),"")</f>
        <v/>
      </c>
      <c r="AX27" s="70" t="s">
        <v>76</v>
      </c>
      <c r="AY27" s="71"/>
      <c r="AZ27" s="69" t="str">
        <f>IF(BB27&gt;0,(IFERROR(VLOOKUP($E27,データ!$B$3:$Q$14,13,FALSE),"")),"")</f>
        <v/>
      </c>
      <c r="BA27" s="70" t="s">
        <v>76</v>
      </c>
      <c r="BB27" s="71"/>
      <c r="BC27" s="69" t="str">
        <f>IF(BE27&gt;0,(IFERROR(VLOOKUP($E27,データ!$B$3:$Q$14,14,FALSE),"")),"")</f>
        <v/>
      </c>
      <c r="BD27" s="70" t="s">
        <v>76</v>
      </c>
      <c r="BE27" s="71"/>
      <c r="BF27" s="69" t="str">
        <f>IF(BH27&gt;0,(IFERROR(VLOOKUP($E27,データ!$B$3:$Q$14,15,FALSE),"")),"")</f>
        <v/>
      </c>
      <c r="BG27" s="70" t="s">
        <v>76</v>
      </c>
      <c r="BH27" s="71"/>
      <c r="BI27" s="69" t="str">
        <f>IF(BK27&gt;0,(IFERROR(VLOOKUP($E27,データ!$B$3:$Q$14,16,FALSE),"")),"")</f>
        <v/>
      </c>
      <c r="BJ27" s="70" t="s">
        <v>76</v>
      </c>
      <c r="BK27" s="72"/>
      <c r="BL27" s="145" t="str">
        <f t="shared" ref="BL27" si="84">IF(E27=0,"-",(SUM(R28,S28,V28,Y28,AB28,AE28,AH28,AK28,AN28,AQ28,AT28,AW28,AZ28,BC28,BF28,BI28)))</f>
        <v>-</v>
      </c>
      <c r="BM27" s="144" t="str">
        <f t="shared" ref="BM27" si="85">IF(E27=0,"-",(BL27*1.1))</f>
        <v>-</v>
      </c>
      <c r="BN27" s="141" t="str">
        <f t="shared" ref="BN27" si="86">IF(E27=0,"-",(ROUND(((P27/1000)*BM27),2)))</f>
        <v>-</v>
      </c>
    </row>
    <row r="28" spans="2:66" ht="24.95" customHeight="1" x14ac:dyDescent="0.15">
      <c r="B28" s="130"/>
      <c r="C28" s="117"/>
      <c r="D28" s="119"/>
      <c r="E28" s="21" t="s">
        <v>41</v>
      </c>
      <c r="F28" s="73"/>
      <c r="G28" s="74"/>
      <c r="H28" s="75"/>
      <c r="I28" s="75"/>
      <c r="J28" s="75"/>
      <c r="K28" s="76"/>
      <c r="L28" s="61" t="str">
        <f>IF(E27=0,"-",F27*H27*K27)</f>
        <v>-</v>
      </c>
      <c r="M28" s="197"/>
      <c r="N28" s="121"/>
      <c r="O28" s="121"/>
      <c r="P28" s="121"/>
      <c r="Q28" s="140"/>
      <c r="R28" s="77"/>
      <c r="S28" s="110" t="str">
        <f>IFERROR((S27*U27),"")</f>
        <v/>
      </c>
      <c r="T28" s="111"/>
      <c r="U28" s="111"/>
      <c r="V28" s="110" t="str">
        <f t="shared" ref="V28" si="87">IFERROR((V27*X27),"")</f>
        <v/>
      </c>
      <c r="W28" s="111"/>
      <c r="X28" s="111"/>
      <c r="Y28" s="110" t="str">
        <f t="shared" ref="Y28" si="88">IFERROR((Y27*AA27),"")</f>
        <v/>
      </c>
      <c r="Z28" s="111"/>
      <c r="AA28" s="111"/>
      <c r="AB28" s="110" t="str">
        <f t="shared" ref="AB28" si="89">IFERROR((AB27*AD27),"")</f>
        <v/>
      </c>
      <c r="AC28" s="111"/>
      <c r="AD28" s="111"/>
      <c r="AE28" s="110" t="str">
        <f t="shared" ref="AE28" si="90">IFERROR((AE27*AG27),"")</f>
        <v/>
      </c>
      <c r="AF28" s="111"/>
      <c r="AG28" s="111"/>
      <c r="AH28" s="110" t="str">
        <f t="shared" ref="AH28" si="91">IFERROR((AH27*AJ27),"")</f>
        <v/>
      </c>
      <c r="AI28" s="111"/>
      <c r="AJ28" s="111"/>
      <c r="AK28" s="110" t="str">
        <f t="shared" ref="AK28" si="92">IFERROR((AK27*AM27),"")</f>
        <v/>
      </c>
      <c r="AL28" s="111"/>
      <c r="AM28" s="111"/>
      <c r="AN28" s="110" t="str">
        <f t="shared" ref="AN28" si="93">IFERROR((AN27*AP27),"")</f>
        <v/>
      </c>
      <c r="AO28" s="111"/>
      <c r="AP28" s="111"/>
      <c r="AQ28" s="110" t="str">
        <f t="shared" ref="AQ28" si="94">IFERROR((AQ27*AS27),"")</f>
        <v/>
      </c>
      <c r="AR28" s="111"/>
      <c r="AS28" s="111"/>
      <c r="AT28" s="110" t="str">
        <f t="shared" ref="AT28" si="95">IFERROR((AT27*AV27),"")</f>
        <v/>
      </c>
      <c r="AU28" s="111"/>
      <c r="AV28" s="111"/>
      <c r="AW28" s="110" t="str">
        <f t="shared" ref="AW28" si="96">IFERROR((AW27*AY27),"")</f>
        <v/>
      </c>
      <c r="AX28" s="111"/>
      <c r="AY28" s="111"/>
      <c r="AZ28" s="110" t="str">
        <f t="shared" ref="AZ28" si="97">IFERROR((AZ27*BB27),"")</f>
        <v/>
      </c>
      <c r="BA28" s="111"/>
      <c r="BB28" s="111"/>
      <c r="BC28" s="110" t="str">
        <f t="shared" ref="BC28" si="98">IFERROR((BC27*BE27),"")</f>
        <v/>
      </c>
      <c r="BD28" s="111"/>
      <c r="BE28" s="111"/>
      <c r="BF28" s="110" t="str">
        <f t="shared" ref="BF28" si="99">IFERROR((BF27*BH27),"")</f>
        <v/>
      </c>
      <c r="BG28" s="111"/>
      <c r="BH28" s="111"/>
      <c r="BI28" s="110" t="str">
        <f t="shared" ref="BI28" si="100">IFERROR((BI27*BK27),"")</f>
        <v/>
      </c>
      <c r="BJ28" s="111"/>
      <c r="BK28" s="146"/>
      <c r="BL28" s="133"/>
      <c r="BM28" s="135"/>
      <c r="BN28" s="137"/>
    </row>
    <row r="29" spans="2:66" ht="24.95" customHeight="1" x14ac:dyDescent="0.15">
      <c r="B29" s="129"/>
      <c r="C29" s="116" t="s">
        <v>74</v>
      </c>
      <c r="D29" s="118"/>
      <c r="E29" s="43"/>
      <c r="F29" s="63"/>
      <c r="G29" s="64" t="s">
        <v>12</v>
      </c>
      <c r="H29" s="65"/>
      <c r="I29" s="66" t="s">
        <v>13</v>
      </c>
      <c r="J29" s="64" t="s">
        <v>12</v>
      </c>
      <c r="K29" s="67" t="str">
        <f>IF(E29=0,"-",VLOOKUP(H29,データ!$B$21:$C$50,2))</f>
        <v>-</v>
      </c>
      <c r="L29" s="68"/>
      <c r="M29" s="198" t="str">
        <f t="shared" ref="M29" si="101">IF(E29&lt;75,"-",130)</f>
        <v>-</v>
      </c>
      <c r="N29" s="120" t="str">
        <f t="shared" ref="N29" si="102">IF(E29=0,"-",(IF((E29&lt;75),((0.0126+(0.01739-0.1087*(E29/1000))/SQRT(Q29))*Q29^2/((E29/1000)*2*9.8)*1000),0)))</f>
        <v>-</v>
      </c>
      <c r="O29" s="120" t="str">
        <f t="shared" ref="O29" si="103">IF(E29=0,"-",(IF((E29&gt;=75),((10.666*(M29)^-1.85*(E29/1000)^-4.87*(L30/60/1000)^1.85)*1000),0)))</f>
        <v>-</v>
      </c>
      <c r="P29" s="120" t="str">
        <f t="shared" ref="P29" si="104">IF(E29=0,"-",IF(N29&gt;O29,N29,O29))</f>
        <v>-</v>
      </c>
      <c r="Q29" s="139" t="str">
        <f t="shared" ref="Q29" si="105">IF(E29=0,"-",ROUND(((L30/1000/60)/(((E29/1000)/2)^2*3.14)),2))</f>
        <v>-</v>
      </c>
      <c r="R29" s="66"/>
      <c r="S29" s="69" t="str">
        <f>IF(U29&gt;0,(IFERROR(VLOOKUP($E29,データ!$B$3:$Q$14,2,FALSE),"")),"")</f>
        <v/>
      </c>
      <c r="T29" s="70" t="s">
        <v>76</v>
      </c>
      <c r="U29" s="71"/>
      <c r="V29" s="69" t="str">
        <f>IF(X29&gt;0,(IFERROR(VLOOKUP($E29,データ!$B$3:$Q$14,3,FALSE),"")),"")</f>
        <v/>
      </c>
      <c r="W29" s="70" t="s">
        <v>76</v>
      </c>
      <c r="X29" s="71"/>
      <c r="Y29" s="69" t="str">
        <f>IF(AA29&gt;0,(IFERROR(VLOOKUP($E29,データ!$B$3:$Q$14,4,FALSE),"")),"")</f>
        <v/>
      </c>
      <c r="Z29" s="70" t="s">
        <v>76</v>
      </c>
      <c r="AA29" s="71"/>
      <c r="AB29" s="69" t="str">
        <f>IF(AD29&gt;0,(IFERROR(VLOOKUP($E29,データ!$B$3:$Q$14,5,FALSE),"")),"")</f>
        <v/>
      </c>
      <c r="AC29" s="70" t="s">
        <v>76</v>
      </c>
      <c r="AD29" s="71"/>
      <c r="AE29" s="69" t="str">
        <f>IF(AG29&gt;0,(IFERROR(VLOOKUP($E29,データ!$B$3:$Q$14,6,FALSE),"")),"")</f>
        <v/>
      </c>
      <c r="AF29" s="70" t="s">
        <v>76</v>
      </c>
      <c r="AG29" s="71"/>
      <c r="AH29" s="69" t="str">
        <f>IF(AJ29&gt;0,(IFERROR(VLOOKUP($E29,データ!$B$3:$Q$14,7,FALSE),"")),"")</f>
        <v/>
      </c>
      <c r="AI29" s="70" t="s">
        <v>76</v>
      </c>
      <c r="AJ29" s="71"/>
      <c r="AK29" s="69" t="str">
        <f>IF(AM29&gt;0,(IFERROR(VLOOKUP($E29,データ!$B$3:$Q$14,8,FALSE),"")),"")</f>
        <v/>
      </c>
      <c r="AL29" s="70" t="s">
        <v>76</v>
      </c>
      <c r="AM29" s="71"/>
      <c r="AN29" s="69" t="str">
        <f>IF(AP29&gt;0,(IFERROR(VLOOKUP($E29,データ!$B$3:$Q$14,9,FALSE),"")),"")</f>
        <v/>
      </c>
      <c r="AO29" s="70" t="s">
        <v>76</v>
      </c>
      <c r="AP29" s="71"/>
      <c r="AQ29" s="69" t="str">
        <f>IF(AS29&gt;0,(IFERROR(VLOOKUP($E29,データ!$B$3:$Q$14,10,FALSE),"")),"")</f>
        <v/>
      </c>
      <c r="AR29" s="70" t="s">
        <v>76</v>
      </c>
      <c r="AS29" s="71"/>
      <c r="AT29" s="69" t="str">
        <f>IF(AV29&gt;0,(IFERROR(VLOOKUP($E29,データ!$B$3:$Q$14,11,FALSE),"")),"")</f>
        <v/>
      </c>
      <c r="AU29" s="70" t="s">
        <v>76</v>
      </c>
      <c r="AV29" s="71"/>
      <c r="AW29" s="69" t="str">
        <f>IF(AY29&gt;0,(IFERROR(VLOOKUP($E29,データ!$B$3:$Q$14,12,FALSE),"")),"")</f>
        <v/>
      </c>
      <c r="AX29" s="70" t="s">
        <v>76</v>
      </c>
      <c r="AY29" s="71"/>
      <c r="AZ29" s="69" t="str">
        <f>IF(BB29&gt;0,(IFERROR(VLOOKUP($E29,データ!$B$3:$Q$14,13,FALSE),"")),"")</f>
        <v/>
      </c>
      <c r="BA29" s="70" t="s">
        <v>76</v>
      </c>
      <c r="BB29" s="71"/>
      <c r="BC29" s="69" t="str">
        <f>IF(BE29&gt;0,(IFERROR(VLOOKUP($E29,データ!$B$3:$Q$14,14,FALSE),"")),"")</f>
        <v/>
      </c>
      <c r="BD29" s="70" t="s">
        <v>76</v>
      </c>
      <c r="BE29" s="71"/>
      <c r="BF29" s="69" t="str">
        <f>IF(BH29&gt;0,(IFERROR(VLOOKUP($E29,データ!$B$3:$Q$14,15,FALSE),"")),"")</f>
        <v/>
      </c>
      <c r="BG29" s="70" t="s">
        <v>76</v>
      </c>
      <c r="BH29" s="71"/>
      <c r="BI29" s="69" t="str">
        <f>IF(BK29&gt;0,(IFERROR(VLOOKUP($E29,データ!$B$3:$Q$14,16,FALSE),"")),"")</f>
        <v/>
      </c>
      <c r="BJ29" s="70" t="s">
        <v>76</v>
      </c>
      <c r="BK29" s="72"/>
      <c r="BL29" s="145" t="str">
        <f t="shared" ref="BL29" si="106">IF(E29=0,"-",(SUM(R30,S30,V30,Y30,AB30,AE30,AH30,AK30,AN30,AQ30,AT30,AW30,AZ30,BC30,BF30,BI30)))</f>
        <v>-</v>
      </c>
      <c r="BM29" s="144" t="str">
        <f t="shared" ref="BM29" si="107">IF(E29=0,"-",(BL29*1.1))</f>
        <v>-</v>
      </c>
      <c r="BN29" s="141" t="str">
        <f t="shared" ref="BN29" si="108">IF(E29=0,"-",(ROUND(((P29/1000)*BM29),2)))</f>
        <v>-</v>
      </c>
    </row>
    <row r="30" spans="2:66" ht="24.95" customHeight="1" x14ac:dyDescent="0.15">
      <c r="B30" s="130"/>
      <c r="C30" s="117"/>
      <c r="D30" s="119"/>
      <c r="E30" s="21" t="s">
        <v>41</v>
      </c>
      <c r="F30" s="73"/>
      <c r="G30" s="74"/>
      <c r="H30" s="75"/>
      <c r="I30" s="75"/>
      <c r="J30" s="75"/>
      <c r="K30" s="76"/>
      <c r="L30" s="61" t="str">
        <f>IF(E29=0,"-",F29*H29*K29)</f>
        <v>-</v>
      </c>
      <c r="M30" s="197"/>
      <c r="N30" s="121"/>
      <c r="O30" s="121"/>
      <c r="P30" s="121"/>
      <c r="Q30" s="140"/>
      <c r="R30" s="77"/>
      <c r="S30" s="110" t="str">
        <f>IFERROR((S29*U29),"")</f>
        <v/>
      </c>
      <c r="T30" s="111"/>
      <c r="U30" s="111"/>
      <c r="V30" s="110" t="str">
        <f t="shared" ref="V30" si="109">IFERROR((V29*X29),"")</f>
        <v/>
      </c>
      <c r="W30" s="111"/>
      <c r="X30" s="111"/>
      <c r="Y30" s="110" t="str">
        <f t="shared" ref="Y30" si="110">IFERROR((Y29*AA29),"")</f>
        <v/>
      </c>
      <c r="Z30" s="111"/>
      <c r="AA30" s="111"/>
      <c r="AB30" s="110" t="str">
        <f t="shared" ref="AB30" si="111">IFERROR((AB29*AD29),"")</f>
        <v/>
      </c>
      <c r="AC30" s="111"/>
      <c r="AD30" s="111"/>
      <c r="AE30" s="110" t="str">
        <f t="shared" ref="AE30" si="112">IFERROR((AE29*AG29),"")</f>
        <v/>
      </c>
      <c r="AF30" s="111"/>
      <c r="AG30" s="111"/>
      <c r="AH30" s="110" t="str">
        <f t="shared" ref="AH30" si="113">IFERROR((AH29*AJ29),"")</f>
        <v/>
      </c>
      <c r="AI30" s="111"/>
      <c r="AJ30" s="111"/>
      <c r="AK30" s="110" t="str">
        <f t="shared" ref="AK30" si="114">IFERROR((AK29*AM29),"")</f>
        <v/>
      </c>
      <c r="AL30" s="111"/>
      <c r="AM30" s="111"/>
      <c r="AN30" s="110" t="str">
        <f t="shared" ref="AN30" si="115">IFERROR((AN29*AP29),"")</f>
        <v/>
      </c>
      <c r="AO30" s="111"/>
      <c r="AP30" s="111"/>
      <c r="AQ30" s="110" t="str">
        <f t="shared" ref="AQ30" si="116">IFERROR((AQ29*AS29),"")</f>
        <v/>
      </c>
      <c r="AR30" s="111"/>
      <c r="AS30" s="111"/>
      <c r="AT30" s="110" t="str">
        <f t="shared" ref="AT30" si="117">IFERROR((AT29*AV29),"")</f>
        <v/>
      </c>
      <c r="AU30" s="111"/>
      <c r="AV30" s="111"/>
      <c r="AW30" s="110" t="str">
        <f t="shared" ref="AW30" si="118">IFERROR((AW29*AY29),"")</f>
        <v/>
      </c>
      <c r="AX30" s="111"/>
      <c r="AY30" s="111"/>
      <c r="AZ30" s="110" t="str">
        <f t="shared" ref="AZ30" si="119">IFERROR((AZ29*BB29),"")</f>
        <v/>
      </c>
      <c r="BA30" s="111"/>
      <c r="BB30" s="111"/>
      <c r="BC30" s="110" t="str">
        <f t="shared" ref="BC30" si="120">IFERROR((BC29*BE29),"")</f>
        <v/>
      </c>
      <c r="BD30" s="111"/>
      <c r="BE30" s="111"/>
      <c r="BF30" s="110" t="str">
        <f t="shared" ref="BF30" si="121">IFERROR((BF29*BH29),"")</f>
        <v/>
      </c>
      <c r="BG30" s="111"/>
      <c r="BH30" s="111"/>
      <c r="BI30" s="110" t="str">
        <f t="shared" ref="BI30" si="122">IFERROR((BI29*BK29),"")</f>
        <v/>
      </c>
      <c r="BJ30" s="111"/>
      <c r="BK30" s="146"/>
      <c r="BL30" s="133"/>
      <c r="BM30" s="135"/>
      <c r="BN30" s="137"/>
    </row>
    <row r="31" spans="2:66" ht="24.95" customHeight="1" x14ac:dyDescent="0.15">
      <c r="B31" s="129"/>
      <c r="C31" s="116" t="s">
        <v>74</v>
      </c>
      <c r="D31" s="118"/>
      <c r="E31" s="43"/>
      <c r="F31" s="63"/>
      <c r="G31" s="64" t="s">
        <v>12</v>
      </c>
      <c r="H31" s="65"/>
      <c r="I31" s="66" t="s">
        <v>13</v>
      </c>
      <c r="J31" s="64" t="s">
        <v>12</v>
      </c>
      <c r="K31" s="67" t="str">
        <f>IF(E31=0,"-",VLOOKUP(H31,データ!$B$21:$C$50,2))</f>
        <v>-</v>
      </c>
      <c r="L31" s="68"/>
      <c r="M31" s="198" t="str">
        <f t="shared" ref="M31" si="123">IF(E31&lt;75,"-",130)</f>
        <v>-</v>
      </c>
      <c r="N31" s="120" t="str">
        <f t="shared" ref="N31" si="124">IF(E31=0,"-",(IF((E31&lt;75),((0.0126+(0.01739-0.1087*(E31/1000))/SQRT(Q31))*Q31^2/((E31/1000)*2*9.8)*1000),0)))</f>
        <v>-</v>
      </c>
      <c r="O31" s="120" t="str">
        <f t="shared" ref="O31" si="125">IF(E31=0,"-",(IF((E31&gt;=75),((10.666*(M31)^-1.85*(E31/1000)^-4.87*(L32/60/1000)^1.85)*1000),0)))</f>
        <v>-</v>
      </c>
      <c r="P31" s="120" t="str">
        <f t="shared" ref="P31" si="126">IF(E31=0,"-",IF(N31&gt;O31,N31,O31))</f>
        <v>-</v>
      </c>
      <c r="Q31" s="139" t="str">
        <f t="shared" ref="Q31" si="127">IF(E31=0,"-",ROUND(((L32/1000/60)/(((E31/1000)/2)^2*3.14)),2))</f>
        <v>-</v>
      </c>
      <c r="R31" s="66"/>
      <c r="S31" s="69" t="str">
        <f>IF(U31&gt;0,(IFERROR(VLOOKUP($E31,データ!$B$3:$Q$14,2,FALSE),"")),"")</f>
        <v/>
      </c>
      <c r="T31" s="70" t="s">
        <v>76</v>
      </c>
      <c r="U31" s="71"/>
      <c r="V31" s="69" t="str">
        <f>IF(X31&gt;0,(IFERROR(VLOOKUP($E31,データ!$B$3:$Q$14,3,FALSE),"")),"")</f>
        <v/>
      </c>
      <c r="W31" s="70" t="s">
        <v>76</v>
      </c>
      <c r="X31" s="71"/>
      <c r="Y31" s="69" t="str">
        <f>IF(AA31&gt;0,(IFERROR(VLOOKUP($E31,データ!$B$3:$Q$14,4,FALSE),"")),"")</f>
        <v/>
      </c>
      <c r="Z31" s="70" t="s">
        <v>76</v>
      </c>
      <c r="AA31" s="71"/>
      <c r="AB31" s="69" t="str">
        <f>IF(AD31&gt;0,(IFERROR(VLOOKUP($E31,データ!$B$3:$Q$14,5,FALSE),"")),"")</f>
        <v/>
      </c>
      <c r="AC31" s="70" t="s">
        <v>76</v>
      </c>
      <c r="AD31" s="71"/>
      <c r="AE31" s="69" t="str">
        <f>IF(AG31&gt;0,(IFERROR(VLOOKUP($E31,データ!$B$3:$Q$14,6,FALSE),"")),"")</f>
        <v/>
      </c>
      <c r="AF31" s="70" t="s">
        <v>76</v>
      </c>
      <c r="AG31" s="71"/>
      <c r="AH31" s="69" t="str">
        <f>IF(AJ31&gt;0,(IFERROR(VLOOKUP($E31,データ!$B$3:$Q$14,7,FALSE),"")),"")</f>
        <v/>
      </c>
      <c r="AI31" s="70" t="s">
        <v>76</v>
      </c>
      <c r="AJ31" s="71"/>
      <c r="AK31" s="69" t="str">
        <f>IF(AM31&gt;0,(IFERROR(VLOOKUP($E31,データ!$B$3:$Q$14,8,FALSE),"")),"")</f>
        <v/>
      </c>
      <c r="AL31" s="70" t="s">
        <v>76</v>
      </c>
      <c r="AM31" s="71"/>
      <c r="AN31" s="69" t="str">
        <f>IF(AP31&gt;0,(IFERROR(VLOOKUP($E31,データ!$B$3:$Q$14,9,FALSE),"")),"")</f>
        <v/>
      </c>
      <c r="AO31" s="70" t="s">
        <v>76</v>
      </c>
      <c r="AP31" s="71"/>
      <c r="AQ31" s="69" t="str">
        <f>IF(AS31&gt;0,(IFERROR(VLOOKUP($E31,データ!$B$3:$Q$14,10,FALSE),"")),"")</f>
        <v/>
      </c>
      <c r="AR31" s="70" t="s">
        <v>76</v>
      </c>
      <c r="AS31" s="71"/>
      <c r="AT31" s="69" t="str">
        <f>IF(AV31&gt;0,(IFERROR(VLOOKUP($E31,データ!$B$3:$Q$14,11,FALSE),"")),"")</f>
        <v/>
      </c>
      <c r="AU31" s="70" t="s">
        <v>76</v>
      </c>
      <c r="AV31" s="71"/>
      <c r="AW31" s="69" t="str">
        <f>IF(AY31&gt;0,(IFERROR(VLOOKUP($E31,データ!$B$3:$Q$14,12,FALSE),"")),"")</f>
        <v/>
      </c>
      <c r="AX31" s="70" t="s">
        <v>76</v>
      </c>
      <c r="AY31" s="71"/>
      <c r="AZ31" s="69" t="str">
        <f>IF(BB31&gt;0,(IFERROR(VLOOKUP($E31,データ!$B$3:$Q$14,13,FALSE),"")),"")</f>
        <v/>
      </c>
      <c r="BA31" s="70" t="s">
        <v>76</v>
      </c>
      <c r="BB31" s="71"/>
      <c r="BC31" s="69" t="str">
        <f>IF(BE31&gt;0,(IFERROR(VLOOKUP($E31,データ!$B$3:$Q$14,14,FALSE),"")),"")</f>
        <v/>
      </c>
      <c r="BD31" s="70" t="s">
        <v>76</v>
      </c>
      <c r="BE31" s="71"/>
      <c r="BF31" s="69" t="str">
        <f>IF(BH31&gt;0,(IFERROR(VLOOKUP($E31,データ!$B$3:$Q$14,15,FALSE),"")),"")</f>
        <v/>
      </c>
      <c r="BG31" s="70" t="s">
        <v>76</v>
      </c>
      <c r="BH31" s="71"/>
      <c r="BI31" s="69" t="str">
        <f>IF(BK31&gt;0,(IFERROR(VLOOKUP($E31,データ!$B$3:$Q$14,16,FALSE),"")),"")</f>
        <v/>
      </c>
      <c r="BJ31" s="70" t="s">
        <v>76</v>
      </c>
      <c r="BK31" s="72"/>
      <c r="BL31" s="145" t="str">
        <f t="shared" ref="BL31" si="128">IF(E31=0,"-",(SUM(R32,S32,V32,Y32,AB32,AE32,AH32,AK32,AN32,AQ32,AT32,AW32,AZ32,BC32,BF32,BI32)))</f>
        <v>-</v>
      </c>
      <c r="BM31" s="144" t="str">
        <f t="shared" ref="BM31" si="129">IF(E31=0,"-",(BL31*1.1))</f>
        <v>-</v>
      </c>
      <c r="BN31" s="141" t="str">
        <f t="shared" ref="BN31" si="130">IF(E31=0,"-",(ROUND(((P31/1000)*BM31),2)))</f>
        <v>-</v>
      </c>
    </row>
    <row r="32" spans="2:66" ht="24.95" customHeight="1" x14ac:dyDescent="0.15">
      <c r="B32" s="130"/>
      <c r="C32" s="117"/>
      <c r="D32" s="119"/>
      <c r="E32" s="21" t="s">
        <v>41</v>
      </c>
      <c r="F32" s="73"/>
      <c r="G32" s="74"/>
      <c r="H32" s="75"/>
      <c r="I32" s="75"/>
      <c r="J32" s="75"/>
      <c r="K32" s="76"/>
      <c r="L32" s="61" t="str">
        <f>IF(E31=0,"-",F31*H31*K31)</f>
        <v>-</v>
      </c>
      <c r="M32" s="197"/>
      <c r="N32" s="121"/>
      <c r="O32" s="121"/>
      <c r="P32" s="121"/>
      <c r="Q32" s="140"/>
      <c r="R32" s="77"/>
      <c r="S32" s="110" t="str">
        <f>IFERROR((S31*U31),"")</f>
        <v/>
      </c>
      <c r="T32" s="111"/>
      <c r="U32" s="111"/>
      <c r="V32" s="110" t="str">
        <f t="shared" ref="V32" si="131">IFERROR((V31*X31),"")</f>
        <v/>
      </c>
      <c r="W32" s="111"/>
      <c r="X32" s="111"/>
      <c r="Y32" s="110" t="str">
        <f t="shared" ref="Y32" si="132">IFERROR((Y31*AA31),"")</f>
        <v/>
      </c>
      <c r="Z32" s="111"/>
      <c r="AA32" s="111"/>
      <c r="AB32" s="110" t="str">
        <f t="shared" ref="AB32" si="133">IFERROR((AB31*AD31),"")</f>
        <v/>
      </c>
      <c r="AC32" s="111"/>
      <c r="AD32" s="111"/>
      <c r="AE32" s="110" t="str">
        <f t="shared" ref="AE32" si="134">IFERROR((AE31*AG31),"")</f>
        <v/>
      </c>
      <c r="AF32" s="111"/>
      <c r="AG32" s="111"/>
      <c r="AH32" s="110" t="str">
        <f t="shared" ref="AH32" si="135">IFERROR((AH31*AJ31),"")</f>
        <v/>
      </c>
      <c r="AI32" s="111"/>
      <c r="AJ32" s="111"/>
      <c r="AK32" s="110" t="str">
        <f t="shared" ref="AK32" si="136">IFERROR((AK31*AM31),"")</f>
        <v/>
      </c>
      <c r="AL32" s="111"/>
      <c r="AM32" s="111"/>
      <c r="AN32" s="110" t="str">
        <f t="shared" ref="AN32" si="137">IFERROR((AN31*AP31),"")</f>
        <v/>
      </c>
      <c r="AO32" s="111"/>
      <c r="AP32" s="111"/>
      <c r="AQ32" s="110" t="str">
        <f t="shared" ref="AQ32" si="138">IFERROR((AQ31*AS31),"")</f>
        <v/>
      </c>
      <c r="AR32" s="111"/>
      <c r="AS32" s="111"/>
      <c r="AT32" s="110" t="str">
        <f t="shared" ref="AT32" si="139">IFERROR((AT31*AV31),"")</f>
        <v/>
      </c>
      <c r="AU32" s="111"/>
      <c r="AV32" s="111"/>
      <c r="AW32" s="110" t="str">
        <f t="shared" ref="AW32" si="140">IFERROR((AW31*AY31),"")</f>
        <v/>
      </c>
      <c r="AX32" s="111"/>
      <c r="AY32" s="111"/>
      <c r="AZ32" s="110" t="str">
        <f t="shared" ref="AZ32" si="141">IFERROR((AZ31*BB31),"")</f>
        <v/>
      </c>
      <c r="BA32" s="111"/>
      <c r="BB32" s="111"/>
      <c r="BC32" s="110" t="str">
        <f t="shared" ref="BC32" si="142">IFERROR((BC31*BE31),"")</f>
        <v/>
      </c>
      <c r="BD32" s="111"/>
      <c r="BE32" s="111"/>
      <c r="BF32" s="110" t="str">
        <f t="shared" ref="BF32" si="143">IFERROR((BF31*BH31),"")</f>
        <v/>
      </c>
      <c r="BG32" s="111"/>
      <c r="BH32" s="111"/>
      <c r="BI32" s="110" t="str">
        <f t="shared" ref="BI32" si="144">IFERROR((BI31*BK31),"")</f>
        <v/>
      </c>
      <c r="BJ32" s="111"/>
      <c r="BK32" s="146"/>
      <c r="BL32" s="133"/>
      <c r="BM32" s="135"/>
      <c r="BN32" s="137"/>
    </row>
    <row r="33" spans="2:66" ht="24.95" customHeight="1" x14ac:dyDescent="0.15">
      <c r="B33" s="129"/>
      <c r="C33" s="116" t="s">
        <v>74</v>
      </c>
      <c r="D33" s="118"/>
      <c r="E33" s="43"/>
      <c r="F33" s="63"/>
      <c r="G33" s="64" t="s">
        <v>12</v>
      </c>
      <c r="H33" s="65"/>
      <c r="I33" s="66" t="s">
        <v>13</v>
      </c>
      <c r="J33" s="64" t="s">
        <v>12</v>
      </c>
      <c r="K33" s="67" t="str">
        <f>IF(E33=0,"-",VLOOKUP(H33,データ!$B$21:$C$50,2))</f>
        <v>-</v>
      </c>
      <c r="L33" s="68"/>
      <c r="M33" s="198" t="str">
        <f t="shared" ref="M33" si="145">IF(E33&lt;75,"-",130)</f>
        <v>-</v>
      </c>
      <c r="N33" s="120" t="str">
        <f t="shared" ref="N33" si="146">IF(E33=0,"-",(IF((E33&lt;75),((0.0126+(0.01739-0.1087*(E33/1000))/SQRT(Q33))*Q33^2/((E33/1000)*2*9.8)*1000),0)))</f>
        <v>-</v>
      </c>
      <c r="O33" s="120" t="str">
        <f t="shared" ref="O33" si="147">IF(E33=0,"-",(IF((E33&gt;=75),((10.666*(M33)^-1.85*(E33/1000)^-4.87*(L34/60/1000)^1.85)*1000),0)))</f>
        <v>-</v>
      </c>
      <c r="P33" s="120" t="str">
        <f t="shared" ref="P33" si="148">IF(E33=0,"-",IF(N33&gt;O33,N33,O33))</f>
        <v>-</v>
      </c>
      <c r="Q33" s="139" t="str">
        <f t="shared" ref="Q33" si="149">IF(E33=0,"-",ROUND(((L34/1000/60)/(((E33/1000)/2)^2*3.14)),2))</f>
        <v>-</v>
      </c>
      <c r="R33" s="66"/>
      <c r="S33" s="69" t="str">
        <f>IF(U33&gt;0,(IFERROR(VLOOKUP($E33,データ!$B$3:$Q$14,2,FALSE),"")),"")</f>
        <v/>
      </c>
      <c r="T33" s="70" t="s">
        <v>76</v>
      </c>
      <c r="U33" s="71"/>
      <c r="V33" s="69" t="str">
        <f>IF(X33&gt;0,(IFERROR(VLOOKUP($E33,データ!$B$3:$Q$14,3,FALSE),"")),"")</f>
        <v/>
      </c>
      <c r="W33" s="70" t="s">
        <v>76</v>
      </c>
      <c r="X33" s="71"/>
      <c r="Y33" s="69" t="str">
        <f>IF(AA33&gt;0,(IFERROR(VLOOKUP($E33,データ!$B$3:$Q$14,4,FALSE),"")),"")</f>
        <v/>
      </c>
      <c r="Z33" s="70" t="s">
        <v>76</v>
      </c>
      <c r="AA33" s="71"/>
      <c r="AB33" s="69" t="str">
        <f>IF(AD33&gt;0,(IFERROR(VLOOKUP($E33,データ!$B$3:$Q$14,5,FALSE),"")),"")</f>
        <v/>
      </c>
      <c r="AC33" s="70" t="s">
        <v>76</v>
      </c>
      <c r="AD33" s="71"/>
      <c r="AE33" s="69" t="str">
        <f>IF(AG33&gt;0,(IFERROR(VLOOKUP($E33,データ!$B$3:$Q$14,6,FALSE),"")),"")</f>
        <v/>
      </c>
      <c r="AF33" s="70" t="s">
        <v>76</v>
      </c>
      <c r="AG33" s="71"/>
      <c r="AH33" s="69" t="str">
        <f>IF(AJ33&gt;0,(IFERROR(VLOOKUP($E33,データ!$B$3:$Q$14,7,FALSE),"")),"")</f>
        <v/>
      </c>
      <c r="AI33" s="70" t="s">
        <v>76</v>
      </c>
      <c r="AJ33" s="71"/>
      <c r="AK33" s="69" t="str">
        <f>IF(AM33&gt;0,(IFERROR(VLOOKUP($E33,データ!$B$3:$Q$14,8,FALSE),"")),"")</f>
        <v/>
      </c>
      <c r="AL33" s="70" t="s">
        <v>76</v>
      </c>
      <c r="AM33" s="71"/>
      <c r="AN33" s="69" t="str">
        <f>IF(AP33&gt;0,(IFERROR(VLOOKUP($E33,データ!$B$3:$Q$14,9,FALSE),"")),"")</f>
        <v/>
      </c>
      <c r="AO33" s="70" t="s">
        <v>76</v>
      </c>
      <c r="AP33" s="71"/>
      <c r="AQ33" s="69" t="str">
        <f>IF(AS33&gt;0,(IFERROR(VLOOKUP($E33,データ!$B$3:$Q$14,10,FALSE),"")),"")</f>
        <v/>
      </c>
      <c r="AR33" s="70" t="s">
        <v>76</v>
      </c>
      <c r="AS33" s="71"/>
      <c r="AT33" s="69" t="str">
        <f>IF(AV33&gt;0,(IFERROR(VLOOKUP($E33,データ!$B$3:$Q$14,11,FALSE),"")),"")</f>
        <v/>
      </c>
      <c r="AU33" s="70" t="s">
        <v>76</v>
      </c>
      <c r="AV33" s="71"/>
      <c r="AW33" s="69" t="str">
        <f>IF(AY33&gt;0,(IFERROR(VLOOKUP($E33,データ!$B$3:$Q$14,12,FALSE),"")),"")</f>
        <v/>
      </c>
      <c r="AX33" s="70" t="s">
        <v>76</v>
      </c>
      <c r="AY33" s="71"/>
      <c r="AZ33" s="69" t="str">
        <f>IF(BB33&gt;0,(IFERROR(VLOOKUP($E33,データ!$B$3:$Q$14,13,FALSE),"")),"")</f>
        <v/>
      </c>
      <c r="BA33" s="70" t="s">
        <v>76</v>
      </c>
      <c r="BB33" s="71"/>
      <c r="BC33" s="69" t="str">
        <f>IF(BE33&gt;0,(IFERROR(VLOOKUP($E33,データ!$B$3:$Q$14,14,FALSE),"")),"")</f>
        <v/>
      </c>
      <c r="BD33" s="70" t="s">
        <v>76</v>
      </c>
      <c r="BE33" s="71"/>
      <c r="BF33" s="69" t="str">
        <f>IF(BH33&gt;0,(IFERROR(VLOOKUP($E33,データ!$B$3:$Q$14,15,FALSE),"")),"")</f>
        <v/>
      </c>
      <c r="BG33" s="70" t="s">
        <v>76</v>
      </c>
      <c r="BH33" s="71"/>
      <c r="BI33" s="69" t="str">
        <f>IF(BK33&gt;0,(IFERROR(VLOOKUP($E33,データ!$B$3:$Q$14,16,FALSE),"")),"")</f>
        <v/>
      </c>
      <c r="BJ33" s="70" t="s">
        <v>76</v>
      </c>
      <c r="BK33" s="72"/>
      <c r="BL33" s="145" t="str">
        <f t="shared" ref="BL33" si="150">IF(E33=0,"-",(SUM(R34,S34,V34,Y34,AB34,AE34,AH34,AK34,AN34,AQ34,AT34,AW34,AZ34,BC34,BF34,BI34)))</f>
        <v>-</v>
      </c>
      <c r="BM33" s="144" t="str">
        <f t="shared" ref="BM33" si="151">IF(E33=0,"-",(BL33*1.1))</f>
        <v>-</v>
      </c>
      <c r="BN33" s="141" t="str">
        <f t="shared" ref="BN33" si="152">IF(E33=0,"-",(ROUND(((P33/1000)*BM33),2)))</f>
        <v>-</v>
      </c>
    </row>
    <row r="34" spans="2:66" ht="24.95" customHeight="1" x14ac:dyDescent="0.15">
      <c r="B34" s="130"/>
      <c r="C34" s="117"/>
      <c r="D34" s="119"/>
      <c r="E34" s="21" t="s">
        <v>41</v>
      </c>
      <c r="F34" s="73"/>
      <c r="G34" s="74"/>
      <c r="H34" s="75"/>
      <c r="I34" s="75"/>
      <c r="J34" s="75"/>
      <c r="K34" s="76"/>
      <c r="L34" s="61" t="str">
        <f>IF(E33=0,"-",F33*H33*K33)</f>
        <v>-</v>
      </c>
      <c r="M34" s="197"/>
      <c r="N34" s="121"/>
      <c r="O34" s="121"/>
      <c r="P34" s="121"/>
      <c r="Q34" s="140"/>
      <c r="R34" s="77"/>
      <c r="S34" s="110" t="str">
        <f>IFERROR((S33*U33),"")</f>
        <v/>
      </c>
      <c r="T34" s="111"/>
      <c r="U34" s="111"/>
      <c r="V34" s="110" t="str">
        <f t="shared" ref="V34" si="153">IFERROR((V33*X33),"")</f>
        <v/>
      </c>
      <c r="W34" s="111"/>
      <c r="X34" s="111"/>
      <c r="Y34" s="110" t="str">
        <f t="shared" ref="Y34" si="154">IFERROR((Y33*AA33),"")</f>
        <v/>
      </c>
      <c r="Z34" s="111"/>
      <c r="AA34" s="111"/>
      <c r="AB34" s="110" t="str">
        <f t="shared" ref="AB34" si="155">IFERROR((AB33*AD33),"")</f>
        <v/>
      </c>
      <c r="AC34" s="111"/>
      <c r="AD34" s="111"/>
      <c r="AE34" s="110" t="str">
        <f t="shared" ref="AE34" si="156">IFERROR((AE33*AG33),"")</f>
        <v/>
      </c>
      <c r="AF34" s="111"/>
      <c r="AG34" s="111"/>
      <c r="AH34" s="110" t="str">
        <f t="shared" ref="AH34" si="157">IFERROR((AH33*AJ33),"")</f>
        <v/>
      </c>
      <c r="AI34" s="111"/>
      <c r="AJ34" s="111"/>
      <c r="AK34" s="110" t="str">
        <f t="shared" ref="AK34" si="158">IFERROR((AK33*AM33),"")</f>
        <v/>
      </c>
      <c r="AL34" s="111"/>
      <c r="AM34" s="111"/>
      <c r="AN34" s="110" t="str">
        <f t="shared" ref="AN34" si="159">IFERROR((AN33*AP33),"")</f>
        <v/>
      </c>
      <c r="AO34" s="111"/>
      <c r="AP34" s="111"/>
      <c r="AQ34" s="110" t="str">
        <f t="shared" ref="AQ34" si="160">IFERROR((AQ33*AS33),"")</f>
        <v/>
      </c>
      <c r="AR34" s="111"/>
      <c r="AS34" s="111"/>
      <c r="AT34" s="110" t="str">
        <f t="shared" ref="AT34" si="161">IFERROR((AT33*AV33),"")</f>
        <v/>
      </c>
      <c r="AU34" s="111"/>
      <c r="AV34" s="111"/>
      <c r="AW34" s="110" t="str">
        <f t="shared" ref="AW34" si="162">IFERROR((AW33*AY33),"")</f>
        <v/>
      </c>
      <c r="AX34" s="111"/>
      <c r="AY34" s="111"/>
      <c r="AZ34" s="110" t="str">
        <f t="shared" ref="AZ34" si="163">IFERROR((AZ33*BB33),"")</f>
        <v/>
      </c>
      <c r="BA34" s="111"/>
      <c r="BB34" s="111"/>
      <c r="BC34" s="110" t="str">
        <f t="shared" ref="BC34" si="164">IFERROR((BC33*BE33),"")</f>
        <v/>
      </c>
      <c r="BD34" s="111"/>
      <c r="BE34" s="111"/>
      <c r="BF34" s="110" t="str">
        <f t="shared" ref="BF34" si="165">IFERROR((BF33*BH33),"")</f>
        <v/>
      </c>
      <c r="BG34" s="111"/>
      <c r="BH34" s="111"/>
      <c r="BI34" s="110" t="str">
        <f t="shared" ref="BI34" si="166">IFERROR((BI33*BK33),"")</f>
        <v/>
      </c>
      <c r="BJ34" s="111"/>
      <c r="BK34" s="146"/>
      <c r="BL34" s="133"/>
      <c r="BM34" s="135"/>
      <c r="BN34" s="137"/>
    </row>
    <row r="35" spans="2:66" ht="24.95" customHeight="1" x14ac:dyDescent="0.15">
      <c r="B35" s="129"/>
      <c r="C35" s="116" t="s">
        <v>74</v>
      </c>
      <c r="D35" s="118"/>
      <c r="E35" s="43"/>
      <c r="F35" s="63"/>
      <c r="G35" s="64" t="s">
        <v>12</v>
      </c>
      <c r="H35" s="65"/>
      <c r="I35" s="66" t="s">
        <v>13</v>
      </c>
      <c r="J35" s="64" t="s">
        <v>12</v>
      </c>
      <c r="K35" s="67" t="str">
        <f>IF(E35=0,"-",VLOOKUP(H35,データ!$B$21:$C$50,2))</f>
        <v>-</v>
      </c>
      <c r="L35" s="68"/>
      <c r="M35" s="198" t="str">
        <f t="shared" ref="M35" si="167">IF(E35&lt;75,"-",130)</f>
        <v>-</v>
      </c>
      <c r="N35" s="120" t="str">
        <f t="shared" ref="N35" si="168">IF(E35=0,"-",(IF((E35&lt;75),((0.0126+(0.01739-0.1087*(E35/1000))/SQRT(Q35))*Q35^2/((E35/1000)*2*9.8)*1000),0)))</f>
        <v>-</v>
      </c>
      <c r="O35" s="120" t="str">
        <f t="shared" ref="O35" si="169">IF(E35=0,"-",(IF((E35&gt;=75),((10.666*(M35)^-1.85*(E35/1000)^-4.87*(L36/60/1000)^1.85)*1000),0)))</f>
        <v>-</v>
      </c>
      <c r="P35" s="120" t="str">
        <f t="shared" ref="P35" si="170">IF(E35=0,"-",IF(N35&gt;O35,N35,O35))</f>
        <v>-</v>
      </c>
      <c r="Q35" s="139" t="str">
        <f t="shared" ref="Q35" si="171">IF(E35=0,"-",ROUND(((L36/1000/60)/(((E35/1000)/2)^2*3.14)),2))</f>
        <v>-</v>
      </c>
      <c r="R35" s="66"/>
      <c r="S35" s="69" t="str">
        <f>IF(U35&gt;0,(IFERROR(VLOOKUP($E35,データ!$B$3:$Q$14,2,FALSE),"")),"")</f>
        <v/>
      </c>
      <c r="T35" s="70" t="s">
        <v>76</v>
      </c>
      <c r="U35" s="71"/>
      <c r="V35" s="69" t="str">
        <f>IF(X35&gt;0,(IFERROR(VLOOKUP($E35,データ!$B$3:$Q$14,3,FALSE),"")),"")</f>
        <v/>
      </c>
      <c r="W35" s="70" t="s">
        <v>76</v>
      </c>
      <c r="X35" s="71"/>
      <c r="Y35" s="69" t="str">
        <f>IF(AA35&gt;0,(IFERROR(VLOOKUP($E35,データ!$B$3:$Q$14,4,FALSE),"")),"")</f>
        <v/>
      </c>
      <c r="Z35" s="70" t="s">
        <v>76</v>
      </c>
      <c r="AA35" s="71"/>
      <c r="AB35" s="69" t="str">
        <f>IF(AD35&gt;0,(IFERROR(VLOOKUP($E35,データ!$B$3:$Q$14,5,FALSE),"")),"")</f>
        <v/>
      </c>
      <c r="AC35" s="70" t="s">
        <v>76</v>
      </c>
      <c r="AD35" s="71"/>
      <c r="AE35" s="69" t="str">
        <f>IF(AG35&gt;0,(IFERROR(VLOOKUP($E35,データ!$B$3:$Q$14,6,FALSE),"")),"")</f>
        <v/>
      </c>
      <c r="AF35" s="70" t="s">
        <v>76</v>
      </c>
      <c r="AG35" s="71"/>
      <c r="AH35" s="69" t="str">
        <f>IF(AJ35&gt;0,(IFERROR(VLOOKUP($E35,データ!$B$3:$Q$14,7,FALSE),"")),"")</f>
        <v/>
      </c>
      <c r="AI35" s="70" t="s">
        <v>76</v>
      </c>
      <c r="AJ35" s="71"/>
      <c r="AK35" s="69" t="str">
        <f>IF(AM35&gt;0,(IFERROR(VLOOKUP($E35,データ!$B$3:$Q$14,8,FALSE),"")),"")</f>
        <v/>
      </c>
      <c r="AL35" s="70" t="s">
        <v>76</v>
      </c>
      <c r="AM35" s="71"/>
      <c r="AN35" s="69" t="str">
        <f>IF(AP35&gt;0,(IFERROR(VLOOKUP($E35,データ!$B$3:$Q$14,9,FALSE),"")),"")</f>
        <v/>
      </c>
      <c r="AO35" s="70" t="s">
        <v>76</v>
      </c>
      <c r="AP35" s="71"/>
      <c r="AQ35" s="69" t="str">
        <f>IF(AS35&gt;0,(IFERROR(VLOOKUP($E35,データ!$B$3:$Q$14,10,FALSE),"")),"")</f>
        <v/>
      </c>
      <c r="AR35" s="70" t="s">
        <v>76</v>
      </c>
      <c r="AS35" s="71"/>
      <c r="AT35" s="69" t="str">
        <f>IF(AV35&gt;0,(IFERROR(VLOOKUP($E35,データ!$B$3:$Q$14,11,FALSE),"")),"")</f>
        <v/>
      </c>
      <c r="AU35" s="70" t="s">
        <v>76</v>
      </c>
      <c r="AV35" s="71"/>
      <c r="AW35" s="69" t="str">
        <f>IF(AY35&gt;0,(IFERROR(VLOOKUP($E35,データ!$B$3:$Q$14,12,FALSE),"")),"")</f>
        <v/>
      </c>
      <c r="AX35" s="70" t="s">
        <v>76</v>
      </c>
      <c r="AY35" s="71"/>
      <c r="AZ35" s="69" t="str">
        <f>IF(BB35&gt;0,(IFERROR(VLOOKUP($E35,データ!$B$3:$Q$14,13,FALSE),"")),"")</f>
        <v/>
      </c>
      <c r="BA35" s="70" t="s">
        <v>76</v>
      </c>
      <c r="BB35" s="71"/>
      <c r="BC35" s="69" t="str">
        <f>IF(BE35&gt;0,(IFERROR(VLOOKUP($E35,データ!$B$3:$Q$14,14,FALSE),"")),"")</f>
        <v/>
      </c>
      <c r="BD35" s="70" t="s">
        <v>76</v>
      </c>
      <c r="BE35" s="71"/>
      <c r="BF35" s="69" t="str">
        <f>IF(BH35&gt;0,(IFERROR(VLOOKUP($E35,データ!$B$3:$Q$14,15,FALSE),"")),"")</f>
        <v/>
      </c>
      <c r="BG35" s="70" t="s">
        <v>76</v>
      </c>
      <c r="BH35" s="71"/>
      <c r="BI35" s="69" t="str">
        <f>IF(BK35&gt;0,(IFERROR(VLOOKUP($E35,データ!$B$3:$Q$14,16,FALSE),"")),"")</f>
        <v/>
      </c>
      <c r="BJ35" s="70" t="s">
        <v>76</v>
      </c>
      <c r="BK35" s="72"/>
      <c r="BL35" s="145" t="str">
        <f t="shared" ref="BL35" si="172">IF(E35=0,"-",(SUM(R36,S36,V36,Y36,AB36,AE36,AH36,AK36,AN36,AQ36,AT36,AW36,AZ36,BC36,BF36,BI36)))</f>
        <v>-</v>
      </c>
      <c r="BM35" s="144" t="str">
        <f t="shared" ref="BM35" si="173">IF(E35=0,"-",(BL35*1.1))</f>
        <v>-</v>
      </c>
      <c r="BN35" s="141" t="str">
        <f t="shared" ref="BN35" si="174">IF(E35=0,"-",(ROUND(((P35/1000)*BM35),2)))</f>
        <v>-</v>
      </c>
    </row>
    <row r="36" spans="2:66" ht="24.95" customHeight="1" x14ac:dyDescent="0.15">
      <c r="B36" s="130"/>
      <c r="C36" s="117"/>
      <c r="D36" s="119"/>
      <c r="E36" s="21" t="s">
        <v>41</v>
      </c>
      <c r="F36" s="73"/>
      <c r="G36" s="74"/>
      <c r="H36" s="75"/>
      <c r="I36" s="75"/>
      <c r="J36" s="75"/>
      <c r="K36" s="76"/>
      <c r="L36" s="61" t="str">
        <f>IF(E35=0,"-",F35*H35*K35)</f>
        <v>-</v>
      </c>
      <c r="M36" s="197"/>
      <c r="N36" s="121"/>
      <c r="O36" s="121"/>
      <c r="P36" s="121"/>
      <c r="Q36" s="140"/>
      <c r="R36" s="77"/>
      <c r="S36" s="110" t="str">
        <f>IFERROR((S35*U35),"")</f>
        <v/>
      </c>
      <c r="T36" s="111"/>
      <c r="U36" s="111"/>
      <c r="V36" s="110" t="str">
        <f t="shared" ref="V36" si="175">IFERROR((V35*X35),"")</f>
        <v/>
      </c>
      <c r="W36" s="111"/>
      <c r="X36" s="111"/>
      <c r="Y36" s="110" t="str">
        <f t="shared" ref="Y36" si="176">IFERROR((Y35*AA35),"")</f>
        <v/>
      </c>
      <c r="Z36" s="111"/>
      <c r="AA36" s="111"/>
      <c r="AB36" s="110" t="str">
        <f t="shared" ref="AB36" si="177">IFERROR((AB35*AD35),"")</f>
        <v/>
      </c>
      <c r="AC36" s="111"/>
      <c r="AD36" s="111"/>
      <c r="AE36" s="110" t="str">
        <f t="shared" ref="AE36" si="178">IFERROR((AE35*AG35),"")</f>
        <v/>
      </c>
      <c r="AF36" s="111"/>
      <c r="AG36" s="111"/>
      <c r="AH36" s="110" t="str">
        <f t="shared" ref="AH36" si="179">IFERROR((AH35*AJ35),"")</f>
        <v/>
      </c>
      <c r="AI36" s="111"/>
      <c r="AJ36" s="111"/>
      <c r="AK36" s="110" t="str">
        <f t="shared" ref="AK36" si="180">IFERROR((AK35*AM35),"")</f>
        <v/>
      </c>
      <c r="AL36" s="111"/>
      <c r="AM36" s="111"/>
      <c r="AN36" s="110" t="str">
        <f t="shared" ref="AN36" si="181">IFERROR((AN35*AP35),"")</f>
        <v/>
      </c>
      <c r="AO36" s="111"/>
      <c r="AP36" s="111"/>
      <c r="AQ36" s="110" t="str">
        <f t="shared" ref="AQ36" si="182">IFERROR((AQ35*AS35),"")</f>
        <v/>
      </c>
      <c r="AR36" s="111"/>
      <c r="AS36" s="111"/>
      <c r="AT36" s="110" t="str">
        <f t="shared" ref="AT36" si="183">IFERROR((AT35*AV35),"")</f>
        <v/>
      </c>
      <c r="AU36" s="111"/>
      <c r="AV36" s="111"/>
      <c r="AW36" s="110" t="str">
        <f t="shared" ref="AW36" si="184">IFERROR((AW35*AY35),"")</f>
        <v/>
      </c>
      <c r="AX36" s="111"/>
      <c r="AY36" s="111"/>
      <c r="AZ36" s="110" t="str">
        <f t="shared" ref="AZ36" si="185">IFERROR((AZ35*BB35),"")</f>
        <v/>
      </c>
      <c r="BA36" s="111"/>
      <c r="BB36" s="111"/>
      <c r="BC36" s="110" t="str">
        <f t="shared" ref="BC36" si="186">IFERROR((BC35*BE35),"")</f>
        <v/>
      </c>
      <c r="BD36" s="111"/>
      <c r="BE36" s="111"/>
      <c r="BF36" s="110" t="str">
        <f t="shared" ref="BF36" si="187">IFERROR((BF35*BH35),"")</f>
        <v/>
      </c>
      <c r="BG36" s="111"/>
      <c r="BH36" s="111"/>
      <c r="BI36" s="110" t="str">
        <f t="shared" ref="BI36" si="188">IFERROR((BI35*BK35),"")</f>
        <v/>
      </c>
      <c r="BJ36" s="111"/>
      <c r="BK36" s="146"/>
      <c r="BL36" s="133"/>
      <c r="BM36" s="135"/>
      <c r="BN36" s="137"/>
    </row>
    <row r="37" spans="2:66" ht="24.95" customHeight="1" x14ac:dyDescent="0.15">
      <c r="B37" s="129"/>
      <c r="C37" s="116" t="s">
        <v>74</v>
      </c>
      <c r="D37" s="118"/>
      <c r="E37" s="43"/>
      <c r="F37" s="63"/>
      <c r="G37" s="64" t="s">
        <v>12</v>
      </c>
      <c r="H37" s="65"/>
      <c r="I37" s="66" t="s">
        <v>13</v>
      </c>
      <c r="J37" s="64" t="s">
        <v>12</v>
      </c>
      <c r="K37" s="67" t="str">
        <f>IF(E37=0,"-",VLOOKUP(H37,データ!$B$21:$C$50,2))</f>
        <v>-</v>
      </c>
      <c r="L37" s="68"/>
      <c r="M37" s="198" t="str">
        <f t="shared" ref="M37" si="189">IF(E37&lt;75,"-",130)</f>
        <v>-</v>
      </c>
      <c r="N37" s="120" t="str">
        <f t="shared" ref="N37" si="190">IF(E37=0,"-",(IF((E37&lt;75),((0.0126+(0.01739-0.1087*(E37/1000))/SQRT(Q37))*Q37^2/((E37/1000)*2*9.8)*1000),0)))</f>
        <v>-</v>
      </c>
      <c r="O37" s="120" t="str">
        <f t="shared" ref="O37" si="191">IF(E37=0,"-",(IF((E37&gt;=75),((10.666*(M37)^-1.85*(E37/1000)^-4.87*(L38/60/1000)^1.85)*1000),0)))</f>
        <v>-</v>
      </c>
      <c r="P37" s="120" t="str">
        <f t="shared" ref="P37" si="192">IF(E37=0,"-",IF(N37&gt;O37,N37,O37))</f>
        <v>-</v>
      </c>
      <c r="Q37" s="139" t="str">
        <f t="shared" ref="Q37" si="193">IF(E37=0,"-",ROUND(((L38/1000/60)/(((E37/1000)/2)^2*3.14)),2))</f>
        <v>-</v>
      </c>
      <c r="R37" s="66"/>
      <c r="S37" s="69" t="str">
        <f>IF(U37&gt;0,(IFERROR(VLOOKUP($E37,データ!$B$3:$Q$14,2,FALSE),"")),"")</f>
        <v/>
      </c>
      <c r="T37" s="70" t="s">
        <v>76</v>
      </c>
      <c r="U37" s="71"/>
      <c r="V37" s="69" t="str">
        <f>IF(X37&gt;0,(IFERROR(VLOOKUP($E37,データ!$B$3:$Q$14,3,FALSE),"")),"")</f>
        <v/>
      </c>
      <c r="W37" s="70" t="s">
        <v>76</v>
      </c>
      <c r="X37" s="71"/>
      <c r="Y37" s="69" t="str">
        <f>IF(AA37&gt;0,(IFERROR(VLOOKUP($E37,データ!$B$3:$Q$14,4,FALSE),"")),"")</f>
        <v/>
      </c>
      <c r="Z37" s="70" t="s">
        <v>76</v>
      </c>
      <c r="AA37" s="71"/>
      <c r="AB37" s="69" t="str">
        <f>IF(AD37&gt;0,(IFERROR(VLOOKUP($E37,データ!$B$3:$Q$14,5,FALSE),"")),"")</f>
        <v/>
      </c>
      <c r="AC37" s="70" t="s">
        <v>76</v>
      </c>
      <c r="AD37" s="71"/>
      <c r="AE37" s="69" t="str">
        <f>IF(AG37&gt;0,(IFERROR(VLOOKUP($E37,データ!$B$3:$Q$14,6,FALSE),"")),"")</f>
        <v/>
      </c>
      <c r="AF37" s="70" t="s">
        <v>76</v>
      </c>
      <c r="AG37" s="71"/>
      <c r="AH37" s="69" t="str">
        <f>IF(AJ37&gt;0,(IFERROR(VLOOKUP($E37,データ!$B$3:$Q$14,7,FALSE),"")),"")</f>
        <v/>
      </c>
      <c r="AI37" s="70" t="s">
        <v>76</v>
      </c>
      <c r="AJ37" s="71"/>
      <c r="AK37" s="69" t="str">
        <f>IF(AM37&gt;0,(IFERROR(VLOOKUP($E37,データ!$B$3:$Q$14,8,FALSE),"")),"")</f>
        <v/>
      </c>
      <c r="AL37" s="70" t="s">
        <v>76</v>
      </c>
      <c r="AM37" s="71"/>
      <c r="AN37" s="69" t="str">
        <f>IF(AP37&gt;0,(IFERROR(VLOOKUP($E37,データ!$B$3:$Q$14,9,FALSE),"")),"")</f>
        <v/>
      </c>
      <c r="AO37" s="70" t="s">
        <v>76</v>
      </c>
      <c r="AP37" s="71"/>
      <c r="AQ37" s="69" t="str">
        <f>IF(AS37&gt;0,(IFERROR(VLOOKUP($E37,データ!$B$3:$Q$14,10,FALSE),"")),"")</f>
        <v/>
      </c>
      <c r="AR37" s="70" t="s">
        <v>76</v>
      </c>
      <c r="AS37" s="71"/>
      <c r="AT37" s="69" t="str">
        <f>IF(AV37&gt;0,(IFERROR(VLOOKUP($E37,データ!$B$3:$Q$14,11,FALSE),"")),"")</f>
        <v/>
      </c>
      <c r="AU37" s="70" t="s">
        <v>76</v>
      </c>
      <c r="AV37" s="71"/>
      <c r="AW37" s="69" t="str">
        <f>IF(AY37&gt;0,(IFERROR(VLOOKUP($E37,データ!$B$3:$Q$14,12,FALSE),"")),"")</f>
        <v/>
      </c>
      <c r="AX37" s="70" t="s">
        <v>76</v>
      </c>
      <c r="AY37" s="71"/>
      <c r="AZ37" s="69" t="str">
        <f>IF(BB37&gt;0,(IFERROR(VLOOKUP($E37,データ!$B$3:$Q$14,13,FALSE),"")),"")</f>
        <v/>
      </c>
      <c r="BA37" s="70" t="s">
        <v>76</v>
      </c>
      <c r="BB37" s="71"/>
      <c r="BC37" s="69" t="str">
        <f>IF(BE37&gt;0,(IFERROR(VLOOKUP($E37,データ!$B$3:$Q$14,14,FALSE),"")),"")</f>
        <v/>
      </c>
      <c r="BD37" s="70" t="s">
        <v>76</v>
      </c>
      <c r="BE37" s="71"/>
      <c r="BF37" s="69" t="str">
        <f>IF(BH37&gt;0,(IFERROR(VLOOKUP($E37,データ!$B$3:$Q$14,15,FALSE),"")),"")</f>
        <v/>
      </c>
      <c r="BG37" s="70" t="s">
        <v>76</v>
      </c>
      <c r="BH37" s="71"/>
      <c r="BI37" s="69" t="str">
        <f>IF(BK37&gt;0,(IFERROR(VLOOKUP($E37,データ!$B$3:$Q$14,16,FALSE),"")),"")</f>
        <v/>
      </c>
      <c r="BJ37" s="70" t="s">
        <v>76</v>
      </c>
      <c r="BK37" s="72"/>
      <c r="BL37" s="145" t="str">
        <f t="shared" ref="BL37" si="194">IF(E37=0,"-",(SUM(R38,S38,V38,Y38,AB38,AE38,AH38,AK38,AN38,AQ38,AT38,AW38,AZ38,BC38,BF38,BI38)))</f>
        <v>-</v>
      </c>
      <c r="BM37" s="144" t="str">
        <f t="shared" ref="BM37" si="195">IF(E37=0,"-",(BL37*1.1))</f>
        <v>-</v>
      </c>
      <c r="BN37" s="141" t="str">
        <f t="shared" ref="BN37" si="196">IF(E37=0,"-",(ROUND(((P37/1000)*BM37),2)))</f>
        <v>-</v>
      </c>
    </row>
    <row r="38" spans="2:66" ht="24.95" customHeight="1" x14ac:dyDescent="0.15">
      <c r="B38" s="130"/>
      <c r="C38" s="117"/>
      <c r="D38" s="119"/>
      <c r="E38" s="21" t="s">
        <v>41</v>
      </c>
      <c r="F38" s="73"/>
      <c r="G38" s="74"/>
      <c r="H38" s="75"/>
      <c r="I38" s="75"/>
      <c r="J38" s="75"/>
      <c r="K38" s="76"/>
      <c r="L38" s="61" t="str">
        <f>IF(E37=0,"-",F37*H37*K37)</f>
        <v>-</v>
      </c>
      <c r="M38" s="197"/>
      <c r="N38" s="121"/>
      <c r="O38" s="121"/>
      <c r="P38" s="121"/>
      <c r="Q38" s="140"/>
      <c r="R38" s="77"/>
      <c r="S38" s="110" t="str">
        <f>IFERROR((S37*U37),"")</f>
        <v/>
      </c>
      <c r="T38" s="111"/>
      <c r="U38" s="111"/>
      <c r="V38" s="110" t="str">
        <f t="shared" ref="V38" si="197">IFERROR((V37*X37),"")</f>
        <v/>
      </c>
      <c r="W38" s="111"/>
      <c r="X38" s="111"/>
      <c r="Y38" s="110" t="str">
        <f t="shared" ref="Y38" si="198">IFERROR((Y37*AA37),"")</f>
        <v/>
      </c>
      <c r="Z38" s="111"/>
      <c r="AA38" s="111"/>
      <c r="AB38" s="110" t="str">
        <f t="shared" ref="AB38" si="199">IFERROR((AB37*AD37),"")</f>
        <v/>
      </c>
      <c r="AC38" s="111"/>
      <c r="AD38" s="111"/>
      <c r="AE38" s="110" t="str">
        <f t="shared" ref="AE38" si="200">IFERROR((AE37*AG37),"")</f>
        <v/>
      </c>
      <c r="AF38" s="111"/>
      <c r="AG38" s="111"/>
      <c r="AH38" s="110" t="str">
        <f t="shared" ref="AH38" si="201">IFERROR((AH37*AJ37),"")</f>
        <v/>
      </c>
      <c r="AI38" s="111"/>
      <c r="AJ38" s="111"/>
      <c r="AK38" s="110" t="str">
        <f t="shared" ref="AK38" si="202">IFERROR((AK37*AM37),"")</f>
        <v/>
      </c>
      <c r="AL38" s="111"/>
      <c r="AM38" s="111"/>
      <c r="AN38" s="110" t="str">
        <f t="shared" ref="AN38" si="203">IFERROR((AN37*AP37),"")</f>
        <v/>
      </c>
      <c r="AO38" s="111"/>
      <c r="AP38" s="111"/>
      <c r="AQ38" s="110" t="str">
        <f t="shared" ref="AQ38" si="204">IFERROR((AQ37*AS37),"")</f>
        <v/>
      </c>
      <c r="AR38" s="111"/>
      <c r="AS38" s="111"/>
      <c r="AT38" s="110" t="str">
        <f t="shared" ref="AT38" si="205">IFERROR((AT37*AV37),"")</f>
        <v/>
      </c>
      <c r="AU38" s="111"/>
      <c r="AV38" s="111"/>
      <c r="AW38" s="110" t="str">
        <f t="shared" ref="AW38" si="206">IFERROR((AW37*AY37),"")</f>
        <v/>
      </c>
      <c r="AX38" s="111"/>
      <c r="AY38" s="111"/>
      <c r="AZ38" s="110" t="str">
        <f t="shared" ref="AZ38" si="207">IFERROR((AZ37*BB37),"")</f>
        <v/>
      </c>
      <c r="BA38" s="111"/>
      <c r="BB38" s="111"/>
      <c r="BC38" s="110" t="str">
        <f t="shared" ref="BC38" si="208">IFERROR((BC37*BE37),"")</f>
        <v/>
      </c>
      <c r="BD38" s="111"/>
      <c r="BE38" s="111"/>
      <c r="BF38" s="110" t="str">
        <f t="shared" ref="BF38" si="209">IFERROR((BF37*BH37),"")</f>
        <v/>
      </c>
      <c r="BG38" s="111"/>
      <c r="BH38" s="111"/>
      <c r="BI38" s="110" t="str">
        <f t="shared" ref="BI38" si="210">IFERROR((BI37*BK37),"")</f>
        <v/>
      </c>
      <c r="BJ38" s="111"/>
      <c r="BK38" s="146"/>
      <c r="BL38" s="133"/>
      <c r="BM38" s="135"/>
      <c r="BN38" s="137"/>
    </row>
    <row r="39" spans="2:66" ht="24.95" customHeight="1" x14ac:dyDescent="0.15">
      <c r="B39" s="129"/>
      <c r="C39" s="116" t="s">
        <v>74</v>
      </c>
      <c r="D39" s="118"/>
      <c r="E39" s="43"/>
      <c r="F39" s="63"/>
      <c r="G39" s="64" t="s">
        <v>12</v>
      </c>
      <c r="H39" s="65"/>
      <c r="I39" s="66" t="s">
        <v>13</v>
      </c>
      <c r="J39" s="64" t="s">
        <v>12</v>
      </c>
      <c r="K39" s="67" t="str">
        <f>IF(E39=0,"-",VLOOKUP(H39,データ!$B$21:$C$50,2))</f>
        <v>-</v>
      </c>
      <c r="L39" s="68"/>
      <c r="M39" s="198" t="str">
        <f t="shared" ref="M39" si="211">IF(E39&lt;75,"-",130)</f>
        <v>-</v>
      </c>
      <c r="N39" s="120" t="str">
        <f t="shared" ref="N39" si="212">IF(E39=0,"-",(IF((E39&lt;75),((0.0126+(0.01739-0.1087*(E39/1000))/SQRT(Q39))*Q39^2/((E39/1000)*2*9.8)*1000),0)))</f>
        <v>-</v>
      </c>
      <c r="O39" s="120" t="str">
        <f t="shared" ref="O39" si="213">IF(E39=0,"-",(IF((E39&gt;=75),((10.666*(M39)^-1.85*(E39/1000)^-4.87*(L40/60/1000)^1.85)*1000),0)))</f>
        <v>-</v>
      </c>
      <c r="P39" s="120" t="str">
        <f t="shared" ref="P39" si="214">IF(E39=0,"-",IF(N39&gt;O39,N39,O39))</f>
        <v>-</v>
      </c>
      <c r="Q39" s="139" t="str">
        <f t="shared" ref="Q39" si="215">IF(E39=0,"-",ROUND(((L40/1000/60)/(((E39/1000)/2)^2*3.14)),2))</f>
        <v>-</v>
      </c>
      <c r="R39" s="66"/>
      <c r="S39" s="69" t="str">
        <f>IF(U39&gt;0,(IFERROR(VLOOKUP($E39,データ!$B$3:$Q$14,2,FALSE),"")),"")</f>
        <v/>
      </c>
      <c r="T39" s="70" t="s">
        <v>76</v>
      </c>
      <c r="U39" s="71"/>
      <c r="V39" s="69" t="str">
        <f>IF(X39&gt;0,(IFERROR(VLOOKUP($E39,データ!$B$3:$Q$14,3,FALSE),"")),"")</f>
        <v/>
      </c>
      <c r="W39" s="70" t="s">
        <v>76</v>
      </c>
      <c r="X39" s="71"/>
      <c r="Y39" s="69" t="str">
        <f>IF(AA39&gt;0,(IFERROR(VLOOKUP($E39,データ!$B$3:$Q$14,4,FALSE),"")),"")</f>
        <v/>
      </c>
      <c r="Z39" s="70" t="s">
        <v>76</v>
      </c>
      <c r="AA39" s="71"/>
      <c r="AB39" s="69" t="str">
        <f>IF(AD39&gt;0,(IFERROR(VLOOKUP($E39,データ!$B$3:$Q$14,5,FALSE),"")),"")</f>
        <v/>
      </c>
      <c r="AC39" s="70" t="s">
        <v>76</v>
      </c>
      <c r="AD39" s="71"/>
      <c r="AE39" s="69" t="str">
        <f>IF(AG39&gt;0,(IFERROR(VLOOKUP($E39,データ!$B$3:$Q$14,6,FALSE),"")),"")</f>
        <v/>
      </c>
      <c r="AF39" s="70" t="s">
        <v>76</v>
      </c>
      <c r="AG39" s="71"/>
      <c r="AH39" s="69" t="str">
        <f>IF(AJ39&gt;0,(IFERROR(VLOOKUP($E39,データ!$B$3:$Q$14,7,FALSE),"")),"")</f>
        <v/>
      </c>
      <c r="AI39" s="70" t="s">
        <v>76</v>
      </c>
      <c r="AJ39" s="71"/>
      <c r="AK39" s="69" t="str">
        <f>IF(AM39&gt;0,(IFERROR(VLOOKUP($E39,データ!$B$3:$Q$14,8,FALSE),"")),"")</f>
        <v/>
      </c>
      <c r="AL39" s="70" t="s">
        <v>76</v>
      </c>
      <c r="AM39" s="71"/>
      <c r="AN39" s="69" t="str">
        <f>IF(AP39&gt;0,(IFERROR(VLOOKUP($E39,データ!$B$3:$Q$14,9,FALSE),"")),"")</f>
        <v/>
      </c>
      <c r="AO39" s="70" t="s">
        <v>76</v>
      </c>
      <c r="AP39" s="71"/>
      <c r="AQ39" s="69" t="str">
        <f>IF(AS39&gt;0,(IFERROR(VLOOKUP($E39,データ!$B$3:$Q$14,10,FALSE),"")),"")</f>
        <v/>
      </c>
      <c r="AR39" s="70" t="s">
        <v>76</v>
      </c>
      <c r="AS39" s="71"/>
      <c r="AT39" s="69" t="str">
        <f>IF(AV39&gt;0,(IFERROR(VLOOKUP($E39,データ!$B$3:$Q$14,11,FALSE),"")),"")</f>
        <v/>
      </c>
      <c r="AU39" s="70" t="s">
        <v>76</v>
      </c>
      <c r="AV39" s="71"/>
      <c r="AW39" s="69" t="str">
        <f>IF(AY39&gt;0,(IFERROR(VLOOKUP($E39,データ!$B$3:$Q$14,12,FALSE),"")),"")</f>
        <v/>
      </c>
      <c r="AX39" s="70" t="s">
        <v>76</v>
      </c>
      <c r="AY39" s="71"/>
      <c r="AZ39" s="69" t="str">
        <f>IF(BB39&gt;0,(IFERROR(VLOOKUP($E39,データ!$B$3:$Q$14,13,FALSE),"")),"")</f>
        <v/>
      </c>
      <c r="BA39" s="70" t="s">
        <v>76</v>
      </c>
      <c r="BB39" s="71"/>
      <c r="BC39" s="69" t="str">
        <f>IF(BE39&gt;0,(IFERROR(VLOOKUP($E39,データ!$B$3:$Q$14,14,FALSE),"")),"")</f>
        <v/>
      </c>
      <c r="BD39" s="70" t="s">
        <v>76</v>
      </c>
      <c r="BE39" s="71"/>
      <c r="BF39" s="69" t="str">
        <f>IF(BH39&gt;0,(IFERROR(VLOOKUP($E39,データ!$B$3:$Q$14,15,FALSE),"")),"")</f>
        <v/>
      </c>
      <c r="BG39" s="70" t="s">
        <v>76</v>
      </c>
      <c r="BH39" s="71"/>
      <c r="BI39" s="69" t="str">
        <f>IF(BK39&gt;0,(IFERROR(VLOOKUP($E39,データ!$B$3:$Q$14,16,FALSE),"")),"")</f>
        <v/>
      </c>
      <c r="BJ39" s="70" t="s">
        <v>76</v>
      </c>
      <c r="BK39" s="72"/>
      <c r="BL39" s="145" t="str">
        <f t="shared" ref="BL39" si="216">IF(E39=0,"-",(SUM(R40,S40,V40,Y40,AB40,AE40,AH40,AK40,AN40,AQ40,AT40,AW40,AZ40,BC40,BF40,BI40)))</f>
        <v>-</v>
      </c>
      <c r="BM39" s="144" t="str">
        <f t="shared" ref="BM39" si="217">IF(E39=0,"-",(BL39*1.1))</f>
        <v>-</v>
      </c>
      <c r="BN39" s="141" t="str">
        <f t="shared" ref="BN39" si="218">IF(E39=0,"-",(ROUND(((P39/1000)*BM39),2)))</f>
        <v>-</v>
      </c>
    </row>
    <row r="40" spans="2:66" ht="24.95" customHeight="1" x14ac:dyDescent="0.15">
      <c r="B40" s="130"/>
      <c r="C40" s="117"/>
      <c r="D40" s="119"/>
      <c r="E40" s="21" t="s">
        <v>41</v>
      </c>
      <c r="F40" s="73"/>
      <c r="G40" s="74"/>
      <c r="H40" s="75"/>
      <c r="I40" s="75"/>
      <c r="J40" s="75"/>
      <c r="K40" s="76"/>
      <c r="L40" s="61" t="str">
        <f>IF(E39=0,"-",F39*H39*K39)</f>
        <v>-</v>
      </c>
      <c r="M40" s="197"/>
      <c r="N40" s="121"/>
      <c r="O40" s="121"/>
      <c r="P40" s="121"/>
      <c r="Q40" s="140"/>
      <c r="R40" s="77"/>
      <c r="S40" s="110" t="str">
        <f>IFERROR((S39*U39),"")</f>
        <v/>
      </c>
      <c r="T40" s="111"/>
      <c r="U40" s="111"/>
      <c r="V40" s="110" t="str">
        <f t="shared" ref="V40" si="219">IFERROR((V39*X39),"")</f>
        <v/>
      </c>
      <c r="W40" s="111"/>
      <c r="X40" s="111"/>
      <c r="Y40" s="110" t="str">
        <f t="shared" ref="Y40" si="220">IFERROR((Y39*AA39),"")</f>
        <v/>
      </c>
      <c r="Z40" s="111"/>
      <c r="AA40" s="111"/>
      <c r="AB40" s="110" t="str">
        <f t="shared" ref="AB40" si="221">IFERROR((AB39*AD39),"")</f>
        <v/>
      </c>
      <c r="AC40" s="111"/>
      <c r="AD40" s="111"/>
      <c r="AE40" s="110" t="str">
        <f t="shared" ref="AE40" si="222">IFERROR((AE39*AG39),"")</f>
        <v/>
      </c>
      <c r="AF40" s="111"/>
      <c r="AG40" s="111"/>
      <c r="AH40" s="110" t="str">
        <f t="shared" ref="AH40" si="223">IFERROR((AH39*AJ39),"")</f>
        <v/>
      </c>
      <c r="AI40" s="111"/>
      <c r="AJ40" s="111"/>
      <c r="AK40" s="110" t="str">
        <f t="shared" ref="AK40" si="224">IFERROR((AK39*AM39),"")</f>
        <v/>
      </c>
      <c r="AL40" s="111"/>
      <c r="AM40" s="111"/>
      <c r="AN40" s="110" t="str">
        <f t="shared" ref="AN40" si="225">IFERROR((AN39*AP39),"")</f>
        <v/>
      </c>
      <c r="AO40" s="111"/>
      <c r="AP40" s="111"/>
      <c r="AQ40" s="110" t="str">
        <f t="shared" ref="AQ40" si="226">IFERROR((AQ39*AS39),"")</f>
        <v/>
      </c>
      <c r="AR40" s="111"/>
      <c r="AS40" s="111"/>
      <c r="AT40" s="110" t="str">
        <f t="shared" ref="AT40" si="227">IFERROR((AT39*AV39),"")</f>
        <v/>
      </c>
      <c r="AU40" s="111"/>
      <c r="AV40" s="111"/>
      <c r="AW40" s="110" t="str">
        <f t="shared" ref="AW40" si="228">IFERROR((AW39*AY39),"")</f>
        <v/>
      </c>
      <c r="AX40" s="111"/>
      <c r="AY40" s="111"/>
      <c r="AZ40" s="110" t="str">
        <f t="shared" ref="AZ40" si="229">IFERROR((AZ39*BB39),"")</f>
        <v/>
      </c>
      <c r="BA40" s="111"/>
      <c r="BB40" s="111"/>
      <c r="BC40" s="110" t="str">
        <f t="shared" ref="BC40" si="230">IFERROR((BC39*BE39),"")</f>
        <v/>
      </c>
      <c r="BD40" s="111"/>
      <c r="BE40" s="111"/>
      <c r="BF40" s="110" t="str">
        <f t="shared" ref="BF40" si="231">IFERROR((BF39*BH39),"")</f>
        <v/>
      </c>
      <c r="BG40" s="111"/>
      <c r="BH40" s="111"/>
      <c r="BI40" s="110" t="str">
        <f t="shared" ref="BI40" si="232">IFERROR((BI39*BK39),"")</f>
        <v/>
      </c>
      <c r="BJ40" s="111"/>
      <c r="BK40" s="146"/>
      <c r="BL40" s="133"/>
      <c r="BM40" s="135"/>
      <c r="BN40" s="137"/>
    </row>
    <row r="41" spans="2:66" ht="24.95" customHeight="1" x14ac:dyDescent="0.15">
      <c r="B41" s="129"/>
      <c r="C41" s="116" t="s">
        <v>74</v>
      </c>
      <c r="D41" s="118"/>
      <c r="E41" s="43"/>
      <c r="F41" s="63"/>
      <c r="G41" s="64" t="s">
        <v>12</v>
      </c>
      <c r="H41" s="65"/>
      <c r="I41" s="66" t="s">
        <v>13</v>
      </c>
      <c r="J41" s="64" t="s">
        <v>12</v>
      </c>
      <c r="K41" s="67" t="str">
        <f>IF(E41=0,"-",VLOOKUP(H41,データ!$B$21:$C$50,2))</f>
        <v>-</v>
      </c>
      <c r="L41" s="68"/>
      <c r="M41" s="198" t="str">
        <f t="shared" ref="M41" si="233">IF(E41&lt;75,"-",130)</f>
        <v>-</v>
      </c>
      <c r="N41" s="120" t="str">
        <f t="shared" ref="N41" si="234">IF(E41=0,"-",(IF((E41&lt;75),((0.0126+(0.01739-0.1087*(E41/1000))/SQRT(Q41))*Q41^2/((E41/1000)*2*9.8)*1000),0)))</f>
        <v>-</v>
      </c>
      <c r="O41" s="120" t="str">
        <f t="shared" ref="O41" si="235">IF(E41=0,"-",(IF((E41&gt;=75),((10.666*(M41)^-1.85*(E41/1000)^-4.87*(L42/60/1000)^1.85)*1000),0)))</f>
        <v>-</v>
      </c>
      <c r="P41" s="120" t="str">
        <f t="shared" ref="P41" si="236">IF(E41=0,"-",IF(N41&gt;O41,N41,O41))</f>
        <v>-</v>
      </c>
      <c r="Q41" s="139" t="str">
        <f t="shared" ref="Q41" si="237">IF(E41=0,"-",ROUND(((L42/1000/60)/(((E41/1000)/2)^2*3.14)),2))</f>
        <v>-</v>
      </c>
      <c r="R41" s="66"/>
      <c r="S41" s="69" t="str">
        <f>IF(U41&gt;0,(IFERROR(VLOOKUP($E41,データ!$B$3:$Q$14,2,FALSE),"")),"")</f>
        <v/>
      </c>
      <c r="T41" s="70" t="s">
        <v>76</v>
      </c>
      <c r="U41" s="71"/>
      <c r="V41" s="69" t="str">
        <f>IF(X41&gt;0,(IFERROR(VLOOKUP($E41,データ!$B$3:$Q$14,3,FALSE),"")),"")</f>
        <v/>
      </c>
      <c r="W41" s="70" t="s">
        <v>76</v>
      </c>
      <c r="X41" s="71"/>
      <c r="Y41" s="69" t="str">
        <f>IF(AA41&gt;0,(IFERROR(VLOOKUP($E41,データ!$B$3:$Q$14,4,FALSE),"")),"")</f>
        <v/>
      </c>
      <c r="Z41" s="70" t="s">
        <v>76</v>
      </c>
      <c r="AA41" s="71"/>
      <c r="AB41" s="69" t="str">
        <f>IF(AD41&gt;0,(IFERROR(VLOOKUP($E41,データ!$B$3:$Q$14,5,FALSE),"")),"")</f>
        <v/>
      </c>
      <c r="AC41" s="70" t="s">
        <v>76</v>
      </c>
      <c r="AD41" s="71"/>
      <c r="AE41" s="69" t="str">
        <f>IF(AG41&gt;0,(IFERROR(VLOOKUP($E41,データ!$B$3:$Q$14,6,FALSE),"")),"")</f>
        <v/>
      </c>
      <c r="AF41" s="70" t="s">
        <v>76</v>
      </c>
      <c r="AG41" s="71"/>
      <c r="AH41" s="69" t="str">
        <f>IF(AJ41&gt;0,(IFERROR(VLOOKUP($E41,データ!$B$3:$Q$14,7,FALSE),"")),"")</f>
        <v/>
      </c>
      <c r="AI41" s="70" t="s">
        <v>76</v>
      </c>
      <c r="AJ41" s="71"/>
      <c r="AK41" s="69" t="str">
        <f>IF(AM41&gt;0,(IFERROR(VLOOKUP($E41,データ!$B$3:$Q$14,8,FALSE),"")),"")</f>
        <v/>
      </c>
      <c r="AL41" s="70" t="s">
        <v>76</v>
      </c>
      <c r="AM41" s="71"/>
      <c r="AN41" s="69" t="str">
        <f>IF(AP41&gt;0,(IFERROR(VLOOKUP($E41,データ!$B$3:$Q$14,9,FALSE),"")),"")</f>
        <v/>
      </c>
      <c r="AO41" s="70" t="s">
        <v>76</v>
      </c>
      <c r="AP41" s="71"/>
      <c r="AQ41" s="69" t="str">
        <f>IF(AS41&gt;0,(IFERROR(VLOOKUP($E41,データ!$B$3:$Q$14,10,FALSE),"")),"")</f>
        <v/>
      </c>
      <c r="AR41" s="70" t="s">
        <v>76</v>
      </c>
      <c r="AS41" s="71"/>
      <c r="AT41" s="69" t="str">
        <f>IF(AV41&gt;0,(IFERROR(VLOOKUP($E41,データ!$B$3:$Q$14,11,FALSE),"")),"")</f>
        <v/>
      </c>
      <c r="AU41" s="70" t="s">
        <v>76</v>
      </c>
      <c r="AV41" s="71"/>
      <c r="AW41" s="69" t="str">
        <f>IF(AY41&gt;0,(IFERROR(VLOOKUP($E41,データ!$B$3:$Q$14,12,FALSE),"")),"")</f>
        <v/>
      </c>
      <c r="AX41" s="70" t="s">
        <v>76</v>
      </c>
      <c r="AY41" s="71"/>
      <c r="AZ41" s="69" t="str">
        <f>IF(BB41&gt;0,(IFERROR(VLOOKUP($E41,データ!$B$3:$Q$14,13,FALSE),"")),"")</f>
        <v/>
      </c>
      <c r="BA41" s="70" t="s">
        <v>76</v>
      </c>
      <c r="BB41" s="71"/>
      <c r="BC41" s="69" t="str">
        <f>IF(BE41&gt;0,(IFERROR(VLOOKUP($E41,データ!$B$3:$Q$14,14,FALSE),"")),"")</f>
        <v/>
      </c>
      <c r="BD41" s="70" t="s">
        <v>76</v>
      </c>
      <c r="BE41" s="71"/>
      <c r="BF41" s="69" t="str">
        <f>IF(BH41&gt;0,(IFERROR(VLOOKUP($E41,データ!$B$3:$Q$14,15,FALSE),"")),"")</f>
        <v/>
      </c>
      <c r="BG41" s="70" t="s">
        <v>76</v>
      </c>
      <c r="BH41" s="71"/>
      <c r="BI41" s="69" t="str">
        <f>IF(BK41&gt;0,(IFERROR(VLOOKUP($E41,データ!$B$3:$Q$14,16,FALSE),"")),"")</f>
        <v/>
      </c>
      <c r="BJ41" s="70" t="s">
        <v>76</v>
      </c>
      <c r="BK41" s="72"/>
      <c r="BL41" s="145" t="str">
        <f t="shared" ref="BL41" si="238">IF(E41=0,"-",(SUM(R42,S42,V42,Y42,AB42,AE42,AH42,AK42,AN42,AQ42,AT42,AW42,AZ42,BC42,BF42,BI42)))</f>
        <v>-</v>
      </c>
      <c r="BM41" s="144" t="str">
        <f t="shared" ref="BM41" si="239">IF(E41=0,"-",(BL41*1.1))</f>
        <v>-</v>
      </c>
      <c r="BN41" s="141" t="str">
        <f t="shared" ref="BN41" si="240">IF(E41=0,"-",(ROUND(((P41/1000)*BM41),2)))</f>
        <v>-</v>
      </c>
    </row>
    <row r="42" spans="2:66" ht="24.95" customHeight="1" x14ac:dyDescent="0.15">
      <c r="B42" s="130"/>
      <c r="C42" s="117"/>
      <c r="D42" s="119"/>
      <c r="E42" s="21" t="s">
        <v>41</v>
      </c>
      <c r="F42" s="73"/>
      <c r="G42" s="74"/>
      <c r="H42" s="75"/>
      <c r="I42" s="75"/>
      <c r="J42" s="75"/>
      <c r="K42" s="76"/>
      <c r="L42" s="61" t="str">
        <f>IF(E41=0,"-",F41*H41*K41)</f>
        <v>-</v>
      </c>
      <c r="M42" s="197"/>
      <c r="N42" s="121"/>
      <c r="O42" s="121"/>
      <c r="P42" s="121"/>
      <c r="Q42" s="140"/>
      <c r="R42" s="77"/>
      <c r="S42" s="110" t="str">
        <f>IFERROR((S41*U41),"")</f>
        <v/>
      </c>
      <c r="T42" s="111"/>
      <c r="U42" s="111"/>
      <c r="V42" s="110" t="str">
        <f t="shared" ref="V42" si="241">IFERROR((V41*X41),"")</f>
        <v/>
      </c>
      <c r="W42" s="111"/>
      <c r="X42" s="111"/>
      <c r="Y42" s="110" t="str">
        <f t="shared" ref="Y42" si="242">IFERROR((Y41*AA41),"")</f>
        <v/>
      </c>
      <c r="Z42" s="111"/>
      <c r="AA42" s="111"/>
      <c r="AB42" s="110" t="str">
        <f t="shared" ref="AB42" si="243">IFERROR((AB41*AD41),"")</f>
        <v/>
      </c>
      <c r="AC42" s="111"/>
      <c r="AD42" s="111"/>
      <c r="AE42" s="110" t="str">
        <f t="shared" ref="AE42" si="244">IFERROR((AE41*AG41),"")</f>
        <v/>
      </c>
      <c r="AF42" s="111"/>
      <c r="AG42" s="111"/>
      <c r="AH42" s="110" t="str">
        <f t="shared" ref="AH42" si="245">IFERROR((AH41*AJ41),"")</f>
        <v/>
      </c>
      <c r="AI42" s="111"/>
      <c r="AJ42" s="111"/>
      <c r="AK42" s="110" t="str">
        <f t="shared" ref="AK42" si="246">IFERROR((AK41*AM41),"")</f>
        <v/>
      </c>
      <c r="AL42" s="111"/>
      <c r="AM42" s="111"/>
      <c r="AN42" s="110" t="str">
        <f t="shared" ref="AN42" si="247">IFERROR((AN41*AP41),"")</f>
        <v/>
      </c>
      <c r="AO42" s="111"/>
      <c r="AP42" s="111"/>
      <c r="AQ42" s="110" t="str">
        <f t="shared" ref="AQ42" si="248">IFERROR((AQ41*AS41),"")</f>
        <v/>
      </c>
      <c r="AR42" s="111"/>
      <c r="AS42" s="111"/>
      <c r="AT42" s="110" t="str">
        <f t="shared" ref="AT42" si="249">IFERROR((AT41*AV41),"")</f>
        <v/>
      </c>
      <c r="AU42" s="111"/>
      <c r="AV42" s="111"/>
      <c r="AW42" s="110" t="str">
        <f t="shared" ref="AW42" si="250">IFERROR((AW41*AY41),"")</f>
        <v/>
      </c>
      <c r="AX42" s="111"/>
      <c r="AY42" s="111"/>
      <c r="AZ42" s="110" t="str">
        <f t="shared" ref="AZ42" si="251">IFERROR((AZ41*BB41),"")</f>
        <v/>
      </c>
      <c r="BA42" s="111"/>
      <c r="BB42" s="111"/>
      <c r="BC42" s="110" t="str">
        <f t="shared" ref="BC42" si="252">IFERROR((BC41*BE41),"")</f>
        <v/>
      </c>
      <c r="BD42" s="111"/>
      <c r="BE42" s="111"/>
      <c r="BF42" s="110" t="str">
        <f t="shared" ref="BF42" si="253">IFERROR((BF41*BH41),"")</f>
        <v/>
      </c>
      <c r="BG42" s="111"/>
      <c r="BH42" s="111"/>
      <c r="BI42" s="110" t="str">
        <f t="shared" ref="BI42" si="254">IFERROR((BI41*BK41),"")</f>
        <v/>
      </c>
      <c r="BJ42" s="111"/>
      <c r="BK42" s="146"/>
      <c r="BL42" s="133"/>
      <c r="BM42" s="135"/>
      <c r="BN42" s="137"/>
    </row>
    <row r="43" spans="2:66" ht="24.95" customHeight="1" x14ac:dyDescent="0.15">
      <c r="B43" s="129"/>
      <c r="C43" s="116" t="s">
        <v>107</v>
      </c>
      <c r="D43" s="118"/>
      <c r="E43" s="43"/>
      <c r="F43" s="63"/>
      <c r="G43" s="64" t="s">
        <v>12</v>
      </c>
      <c r="H43" s="65"/>
      <c r="I43" s="66" t="s">
        <v>13</v>
      </c>
      <c r="J43" s="64" t="s">
        <v>12</v>
      </c>
      <c r="K43" s="67" t="str">
        <f>IF(E43=0,"-",VLOOKUP(H43,データ!$B$21:$C$50,2))</f>
        <v>-</v>
      </c>
      <c r="L43" s="68"/>
      <c r="M43" s="198" t="str">
        <f t="shared" ref="M43" si="255">IF(E43&lt;75,"-",130)</f>
        <v>-</v>
      </c>
      <c r="N43" s="120" t="str">
        <f t="shared" ref="N43" si="256">IF(E43=0,"-",(IF((E43&lt;75),((0.0126+(0.01739-0.1087*(E43/1000))/SQRT(Q43))*Q43^2/((E43/1000)*2*9.8)*1000),0)))</f>
        <v>-</v>
      </c>
      <c r="O43" s="120" t="str">
        <f t="shared" ref="O43" si="257">IF(E43=0,"-",(IF((E43&gt;=75),((10.666*(M43)^-1.85*(E43/1000)^-4.87*(L44/60/1000)^1.85)*1000),0)))</f>
        <v>-</v>
      </c>
      <c r="P43" s="120" t="str">
        <f t="shared" ref="P43" si="258">IF(E43=0,"-",IF(N43&gt;O43,N43,O43))</f>
        <v>-</v>
      </c>
      <c r="Q43" s="139" t="str">
        <f t="shared" ref="Q43" si="259">IF(E43=0,"-",ROUND(((L44/1000/60)/(((E43/1000)/2)^2*3.14)),2))</f>
        <v>-</v>
      </c>
      <c r="R43" s="66"/>
      <c r="S43" s="69" t="str">
        <f>IF(U43&gt;0,(IFERROR(VLOOKUP($E43,データ!$B$3:$Q$14,2,FALSE),"")),"")</f>
        <v/>
      </c>
      <c r="T43" s="70" t="s">
        <v>76</v>
      </c>
      <c r="U43" s="71"/>
      <c r="V43" s="69" t="str">
        <f>IF(X43&gt;0,(IFERROR(VLOOKUP($E43,データ!$B$3:$Q$14,3,FALSE),"")),"")</f>
        <v/>
      </c>
      <c r="W43" s="70" t="s">
        <v>76</v>
      </c>
      <c r="X43" s="71"/>
      <c r="Y43" s="69" t="str">
        <f>IF(AA43&gt;0,(IFERROR(VLOOKUP($E43,データ!$B$3:$Q$14,4,FALSE),"")),"")</f>
        <v/>
      </c>
      <c r="Z43" s="70" t="s">
        <v>76</v>
      </c>
      <c r="AA43" s="71"/>
      <c r="AB43" s="69" t="str">
        <f>IF(AD43&gt;0,(IFERROR(VLOOKUP($E43,データ!$B$3:$Q$14,5,FALSE),"")),"")</f>
        <v/>
      </c>
      <c r="AC43" s="70" t="s">
        <v>76</v>
      </c>
      <c r="AD43" s="71"/>
      <c r="AE43" s="69" t="str">
        <f>IF(AG43&gt;0,(IFERROR(VLOOKUP($E43,データ!$B$3:$Q$14,6,FALSE),"")),"")</f>
        <v/>
      </c>
      <c r="AF43" s="70" t="s">
        <v>76</v>
      </c>
      <c r="AG43" s="71"/>
      <c r="AH43" s="69" t="str">
        <f>IF(AJ43&gt;0,(IFERROR(VLOOKUP($E43,データ!$B$3:$Q$14,7,FALSE),"")),"")</f>
        <v/>
      </c>
      <c r="AI43" s="70" t="s">
        <v>76</v>
      </c>
      <c r="AJ43" s="71"/>
      <c r="AK43" s="69" t="str">
        <f>IF(AM43&gt;0,(IFERROR(VLOOKUP($E43,データ!$B$3:$Q$14,8,FALSE),"")),"")</f>
        <v/>
      </c>
      <c r="AL43" s="70" t="s">
        <v>76</v>
      </c>
      <c r="AM43" s="71"/>
      <c r="AN43" s="69" t="str">
        <f>IF(AP43&gt;0,(IFERROR(VLOOKUP($E43,データ!$B$3:$Q$14,9,FALSE),"")),"")</f>
        <v/>
      </c>
      <c r="AO43" s="70" t="s">
        <v>76</v>
      </c>
      <c r="AP43" s="71"/>
      <c r="AQ43" s="69" t="str">
        <f>IF(AS43&gt;0,(IFERROR(VLOOKUP($E43,データ!$B$3:$Q$14,10,FALSE),"")),"")</f>
        <v/>
      </c>
      <c r="AR43" s="70" t="s">
        <v>76</v>
      </c>
      <c r="AS43" s="71"/>
      <c r="AT43" s="69" t="str">
        <f>IF(AV43&gt;0,(IFERROR(VLOOKUP($E43,データ!$B$3:$Q$14,11,FALSE),"")),"")</f>
        <v/>
      </c>
      <c r="AU43" s="70" t="s">
        <v>76</v>
      </c>
      <c r="AV43" s="71"/>
      <c r="AW43" s="69" t="str">
        <f>IF(AY43&gt;0,(IFERROR(VLOOKUP($E43,データ!$B$3:$Q$14,12,FALSE),"")),"")</f>
        <v/>
      </c>
      <c r="AX43" s="70" t="s">
        <v>76</v>
      </c>
      <c r="AY43" s="71"/>
      <c r="AZ43" s="69" t="str">
        <f>IF(BB43&gt;0,(IFERROR(VLOOKUP($E43,データ!$B$3:$Q$14,13,FALSE),"")),"")</f>
        <v/>
      </c>
      <c r="BA43" s="70" t="s">
        <v>76</v>
      </c>
      <c r="BB43" s="71"/>
      <c r="BC43" s="69" t="str">
        <f>IF(BE43&gt;0,(IFERROR(VLOOKUP($E43,データ!$B$3:$Q$14,14,FALSE),"")),"")</f>
        <v/>
      </c>
      <c r="BD43" s="70" t="s">
        <v>76</v>
      </c>
      <c r="BE43" s="71"/>
      <c r="BF43" s="69" t="str">
        <f>IF(BH43&gt;0,(IFERROR(VLOOKUP($E43,データ!$B$3:$Q$14,15,FALSE),"")),"")</f>
        <v/>
      </c>
      <c r="BG43" s="70" t="s">
        <v>76</v>
      </c>
      <c r="BH43" s="71"/>
      <c r="BI43" s="69" t="str">
        <f>IF(BK43&gt;0,(IFERROR(VLOOKUP($E43,データ!$B$3:$Q$14,16,FALSE),"")),"")</f>
        <v/>
      </c>
      <c r="BJ43" s="70" t="s">
        <v>76</v>
      </c>
      <c r="BK43" s="72"/>
      <c r="BL43" s="145" t="str">
        <f t="shared" ref="BL43" si="260">IF(E43=0,"-",(SUM(R44,S44,V44,Y44,AB44,AE44,AH44,AK44,AN44,AQ44,AT44,AW44,AZ44,BC44,BF44,BI44)))</f>
        <v>-</v>
      </c>
      <c r="BM43" s="144" t="str">
        <f t="shared" ref="BM43" si="261">IF(E43=0,"-",(BL43*1.1))</f>
        <v>-</v>
      </c>
      <c r="BN43" s="141" t="str">
        <f t="shared" ref="BN43" si="262">IF(E43=0,"-",(ROUND(((P43/1000)*BM43),2)))</f>
        <v>-</v>
      </c>
    </row>
    <row r="44" spans="2:66" ht="24.95" customHeight="1" x14ac:dyDescent="0.15">
      <c r="B44" s="130"/>
      <c r="C44" s="117"/>
      <c r="D44" s="119"/>
      <c r="E44" s="21" t="s">
        <v>41</v>
      </c>
      <c r="F44" s="73"/>
      <c r="G44" s="74"/>
      <c r="H44" s="75"/>
      <c r="I44" s="75"/>
      <c r="J44" s="75"/>
      <c r="K44" s="76"/>
      <c r="L44" s="61" t="str">
        <f>IF(E43=0,"-",F43*H43*K43)</f>
        <v>-</v>
      </c>
      <c r="M44" s="197"/>
      <c r="N44" s="121"/>
      <c r="O44" s="121"/>
      <c r="P44" s="121"/>
      <c r="Q44" s="140"/>
      <c r="R44" s="77"/>
      <c r="S44" s="110" t="str">
        <f>IFERROR((S43*U43),"")</f>
        <v/>
      </c>
      <c r="T44" s="111"/>
      <c r="U44" s="111"/>
      <c r="V44" s="110" t="str">
        <f t="shared" ref="V44" si="263">IFERROR((V43*X43),"")</f>
        <v/>
      </c>
      <c r="W44" s="111"/>
      <c r="X44" s="111"/>
      <c r="Y44" s="110" t="str">
        <f t="shared" ref="Y44" si="264">IFERROR((Y43*AA43),"")</f>
        <v/>
      </c>
      <c r="Z44" s="111"/>
      <c r="AA44" s="111"/>
      <c r="AB44" s="110" t="str">
        <f t="shared" ref="AB44" si="265">IFERROR((AB43*AD43),"")</f>
        <v/>
      </c>
      <c r="AC44" s="111"/>
      <c r="AD44" s="111"/>
      <c r="AE44" s="110" t="str">
        <f t="shared" ref="AE44" si="266">IFERROR((AE43*AG43),"")</f>
        <v/>
      </c>
      <c r="AF44" s="111"/>
      <c r="AG44" s="111"/>
      <c r="AH44" s="110" t="str">
        <f t="shared" ref="AH44" si="267">IFERROR((AH43*AJ43),"")</f>
        <v/>
      </c>
      <c r="AI44" s="111"/>
      <c r="AJ44" s="111"/>
      <c r="AK44" s="110" t="str">
        <f t="shared" ref="AK44" si="268">IFERROR((AK43*AM43),"")</f>
        <v/>
      </c>
      <c r="AL44" s="111"/>
      <c r="AM44" s="111"/>
      <c r="AN44" s="110" t="str">
        <f t="shared" ref="AN44" si="269">IFERROR((AN43*AP43),"")</f>
        <v/>
      </c>
      <c r="AO44" s="111"/>
      <c r="AP44" s="111"/>
      <c r="AQ44" s="110" t="str">
        <f t="shared" ref="AQ44" si="270">IFERROR((AQ43*AS43),"")</f>
        <v/>
      </c>
      <c r="AR44" s="111"/>
      <c r="AS44" s="111"/>
      <c r="AT44" s="110" t="str">
        <f t="shared" ref="AT44" si="271">IFERROR((AT43*AV43),"")</f>
        <v/>
      </c>
      <c r="AU44" s="111"/>
      <c r="AV44" s="111"/>
      <c r="AW44" s="110" t="str">
        <f t="shared" ref="AW44" si="272">IFERROR((AW43*AY43),"")</f>
        <v/>
      </c>
      <c r="AX44" s="111"/>
      <c r="AY44" s="111"/>
      <c r="AZ44" s="110" t="str">
        <f t="shared" ref="AZ44" si="273">IFERROR((AZ43*BB43),"")</f>
        <v/>
      </c>
      <c r="BA44" s="111"/>
      <c r="BB44" s="111"/>
      <c r="BC44" s="110" t="str">
        <f t="shared" ref="BC44" si="274">IFERROR((BC43*BE43),"")</f>
        <v/>
      </c>
      <c r="BD44" s="111"/>
      <c r="BE44" s="111"/>
      <c r="BF44" s="110" t="str">
        <f t="shared" ref="BF44" si="275">IFERROR((BF43*BH43),"")</f>
        <v/>
      </c>
      <c r="BG44" s="111"/>
      <c r="BH44" s="111"/>
      <c r="BI44" s="110" t="str">
        <f t="shared" ref="BI44" si="276">IFERROR((BI43*BK43),"")</f>
        <v/>
      </c>
      <c r="BJ44" s="111"/>
      <c r="BK44" s="146"/>
      <c r="BL44" s="133"/>
      <c r="BM44" s="135"/>
      <c r="BN44" s="137"/>
    </row>
    <row r="45" spans="2:66" ht="24.95" customHeight="1" x14ac:dyDescent="0.15">
      <c r="B45" s="129"/>
      <c r="C45" s="116" t="s">
        <v>74</v>
      </c>
      <c r="D45" s="118"/>
      <c r="E45" s="43"/>
      <c r="F45" s="63"/>
      <c r="G45" s="64" t="s">
        <v>12</v>
      </c>
      <c r="H45" s="65"/>
      <c r="I45" s="66" t="s">
        <v>13</v>
      </c>
      <c r="J45" s="64" t="s">
        <v>12</v>
      </c>
      <c r="K45" s="67" t="str">
        <f>IF(E45=0,"-",VLOOKUP(H45,データ!$B$21:$C$50,2))</f>
        <v>-</v>
      </c>
      <c r="L45" s="68"/>
      <c r="M45" s="198" t="str">
        <f t="shared" ref="M45" si="277">IF(E45&lt;75,"-",130)</f>
        <v>-</v>
      </c>
      <c r="N45" s="120" t="str">
        <f t="shared" ref="N45" si="278">IF(E45=0,"-",(IF((E45&lt;75),((0.0126+(0.01739-0.1087*(E45/1000))/SQRT(Q45))*Q45^2/((E45/1000)*2*9.8)*1000),0)))</f>
        <v>-</v>
      </c>
      <c r="O45" s="120" t="str">
        <f t="shared" ref="O45" si="279">IF(E45=0,"-",(IF((E45&gt;=75),((10.666*(M45)^-1.85*(E45/1000)^-4.87*(L46/60/1000)^1.85)*1000),0)))</f>
        <v>-</v>
      </c>
      <c r="P45" s="120" t="str">
        <f t="shared" ref="P45" si="280">IF(E45=0,"-",IF(N45&gt;O45,N45,O45))</f>
        <v>-</v>
      </c>
      <c r="Q45" s="139" t="str">
        <f t="shared" ref="Q45" si="281">IF(E45=0,"-",ROUND(((L46/1000/60)/(((E45/1000)/2)^2*3.14)),2))</f>
        <v>-</v>
      </c>
      <c r="R45" s="66"/>
      <c r="S45" s="69" t="str">
        <f>IF(U45&gt;0,(IFERROR(VLOOKUP($E45,データ!$B$3:$Q$14,2,FALSE),"")),"")</f>
        <v/>
      </c>
      <c r="T45" s="70" t="s">
        <v>76</v>
      </c>
      <c r="U45" s="71"/>
      <c r="V45" s="69" t="str">
        <f>IF(X45&gt;0,(IFERROR(VLOOKUP($E45,データ!$B$3:$Q$14,3,FALSE),"")),"")</f>
        <v/>
      </c>
      <c r="W45" s="70" t="s">
        <v>76</v>
      </c>
      <c r="X45" s="71"/>
      <c r="Y45" s="69" t="str">
        <f>IF(AA45&gt;0,(IFERROR(VLOOKUP($E45,データ!$B$3:$Q$14,4,FALSE),"")),"")</f>
        <v/>
      </c>
      <c r="Z45" s="70" t="s">
        <v>76</v>
      </c>
      <c r="AA45" s="71"/>
      <c r="AB45" s="69" t="str">
        <f>IF(AD45&gt;0,(IFERROR(VLOOKUP($E45,データ!$B$3:$Q$14,5,FALSE),"")),"")</f>
        <v/>
      </c>
      <c r="AC45" s="70" t="s">
        <v>76</v>
      </c>
      <c r="AD45" s="71"/>
      <c r="AE45" s="69" t="str">
        <f>IF(AG45&gt;0,(IFERROR(VLOOKUP($E45,データ!$B$3:$Q$14,6,FALSE),"")),"")</f>
        <v/>
      </c>
      <c r="AF45" s="70" t="s">
        <v>76</v>
      </c>
      <c r="AG45" s="71"/>
      <c r="AH45" s="69" t="str">
        <f>IF(AJ45&gt;0,(IFERROR(VLOOKUP($E45,データ!$B$3:$Q$14,7,FALSE),"")),"")</f>
        <v/>
      </c>
      <c r="AI45" s="70" t="s">
        <v>76</v>
      </c>
      <c r="AJ45" s="71"/>
      <c r="AK45" s="69" t="str">
        <f>IF(AM45&gt;0,(IFERROR(VLOOKUP($E45,データ!$B$3:$Q$14,8,FALSE),"")),"")</f>
        <v/>
      </c>
      <c r="AL45" s="70" t="s">
        <v>76</v>
      </c>
      <c r="AM45" s="71"/>
      <c r="AN45" s="69" t="str">
        <f>IF(AP45&gt;0,(IFERROR(VLOOKUP($E45,データ!$B$3:$Q$14,9,FALSE),"")),"")</f>
        <v/>
      </c>
      <c r="AO45" s="70" t="s">
        <v>76</v>
      </c>
      <c r="AP45" s="71"/>
      <c r="AQ45" s="69" t="str">
        <f>IF(AS45&gt;0,(IFERROR(VLOOKUP($E45,データ!$B$3:$Q$14,10,FALSE),"")),"")</f>
        <v/>
      </c>
      <c r="AR45" s="70" t="s">
        <v>76</v>
      </c>
      <c r="AS45" s="71"/>
      <c r="AT45" s="69" t="str">
        <f>IF(AV45&gt;0,(IFERROR(VLOOKUP($E45,データ!$B$3:$Q$14,11,FALSE),"")),"")</f>
        <v/>
      </c>
      <c r="AU45" s="70" t="s">
        <v>76</v>
      </c>
      <c r="AV45" s="71"/>
      <c r="AW45" s="69" t="str">
        <f>IF(AY45&gt;0,(IFERROR(VLOOKUP($E45,データ!$B$3:$Q$14,12,FALSE),"")),"")</f>
        <v/>
      </c>
      <c r="AX45" s="70" t="s">
        <v>76</v>
      </c>
      <c r="AY45" s="71"/>
      <c r="AZ45" s="69" t="str">
        <f>IF(BB45&gt;0,(IFERROR(VLOOKUP($E45,データ!$B$3:$Q$14,13,FALSE),"")),"")</f>
        <v/>
      </c>
      <c r="BA45" s="70" t="s">
        <v>76</v>
      </c>
      <c r="BB45" s="71"/>
      <c r="BC45" s="69" t="str">
        <f>IF(BE45&gt;0,(IFERROR(VLOOKUP($E45,データ!$B$3:$Q$14,14,FALSE),"")),"")</f>
        <v/>
      </c>
      <c r="BD45" s="70" t="s">
        <v>76</v>
      </c>
      <c r="BE45" s="71"/>
      <c r="BF45" s="69" t="str">
        <f>IF(BH45&gt;0,(IFERROR(VLOOKUP($E45,データ!$B$3:$Q$14,15,FALSE),"")),"")</f>
        <v/>
      </c>
      <c r="BG45" s="70" t="s">
        <v>76</v>
      </c>
      <c r="BH45" s="71"/>
      <c r="BI45" s="69" t="str">
        <f>IF(BK45&gt;0,(IFERROR(VLOOKUP($E45,データ!$B$3:$Q$14,16,FALSE),"")),"")</f>
        <v/>
      </c>
      <c r="BJ45" s="70" t="s">
        <v>76</v>
      </c>
      <c r="BK45" s="72"/>
      <c r="BL45" s="145" t="str">
        <f t="shared" ref="BL45" si="282">IF(E45=0,"-",(SUM(R46,S46,V46,Y46,AB46,AE46,AH46,AK46,AN46,AQ46,AT46,AW46,AZ46,BC46,BF46,BI46)))</f>
        <v>-</v>
      </c>
      <c r="BM45" s="144" t="str">
        <f t="shared" ref="BM45" si="283">IF(E45=0,"-",(BL45*1.1))</f>
        <v>-</v>
      </c>
      <c r="BN45" s="141" t="str">
        <f t="shared" ref="BN45" si="284">IF(E45=0,"-",(ROUND(((P45/1000)*BM45),2)))</f>
        <v>-</v>
      </c>
    </row>
    <row r="46" spans="2:66" ht="24.95" customHeight="1" x14ac:dyDescent="0.15">
      <c r="B46" s="130"/>
      <c r="C46" s="117"/>
      <c r="D46" s="119"/>
      <c r="E46" s="21" t="s">
        <v>41</v>
      </c>
      <c r="F46" s="73"/>
      <c r="G46" s="74"/>
      <c r="H46" s="75"/>
      <c r="I46" s="75"/>
      <c r="J46" s="75"/>
      <c r="K46" s="76"/>
      <c r="L46" s="61" t="str">
        <f>IF(E45=0,"-",F45*H45*K45)</f>
        <v>-</v>
      </c>
      <c r="M46" s="197"/>
      <c r="N46" s="121"/>
      <c r="O46" s="121"/>
      <c r="P46" s="121"/>
      <c r="Q46" s="140"/>
      <c r="R46" s="77"/>
      <c r="S46" s="110" t="str">
        <f>IFERROR((S45*U45),"")</f>
        <v/>
      </c>
      <c r="T46" s="111"/>
      <c r="U46" s="111"/>
      <c r="V46" s="110" t="str">
        <f t="shared" ref="V46" si="285">IFERROR((V45*X45),"")</f>
        <v/>
      </c>
      <c r="W46" s="111"/>
      <c r="X46" s="111"/>
      <c r="Y46" s="110" t="str">
        <f t="shared" ref="Y46" si="286">IFERROR((Y45*AA45),"")</f>
        <v/>
      </c>
      <c r="Z46" s="111"/>
      <c r="AA46" s="111"/>
      <c r="AB46" s="110" t="str">
        <f t="shared" ref="AB46" si="287">IFERROR((AB45*AD45),"")</f>
        <v/>
      </c>
      <c r="AC46" s="111"/>
      <c r="AD46" s="111"/>
      <c r="AE46" s="110" t="str">
        <f t="shared" ref="AE46" si="288">IFERROR((AE45*AG45),"")</f>
        <v/>
      </c>
      <c r="AF46" s="111"/>
      <c r="AG46" s="111"/>
      <c r="AH46" s="110" t="str">
        <f t="shared" ref="AH46" si="289">IFERROR((AH45*AJ45),"")</f>
        <v/>
      </c>
      <c r="AI46" s="111"/>
      <c r="AJ46" s="111"/>
      <c r="AK46" s="110" t="str">
        <f t="shared" ref="AK46" si="290">IFERROR((AK45*AM45),"")</f>
        <v/>
      </c>
      <c r="AL46" s="111"/>
      <c r="AM46" s="111"/>
      <c r="AN46" s="110" t="str">
        <f t="shared" ref="AN46" si="291">IFERROR((AN45*AP45),"")</f>
        <v/>
      </c>
      <c r="AO46" s="111"/>
      <c r="AP46" s="111"/>
      <c r="AQ46" s="110" t="str">
        <f t="shared" ref="AQ46" si="292">IFERROR((AQ45*AS45),"")</f>
        <v/>
      </c>
      <c r="AR46" s="111"/>
      <c r="AS46" s="111"/>
      <c r="AT46" s="110" t="str">
        <f t="shared" ref="AT46" si="293">IFERROR((AT45*AV45),"")</f>
        <v/>
      </c>
      <c r="AU46" s="111"/>
      <c r="AV46" s="111"/>
      <c r="AW46" s="110" t="str">
        <f t="shared" ref="AW46" si="294">IFERROR((AW45*AY45),"")</f>
        <v/>
      </c>
      <c r="AX46" s="111"/>
      <c r="AY46" s="111"/>
      <c r="AZ46" s="110" t="str">
        <f t="shared" ref="AZ46" si="295">IFERROR((AZ45*BB45),"")</f>
        <v/>
      </c>
      <c r="BA46" s="111"/>
      <c r="BB46" s="111"/>
      <c r="BC46" s="110" t="str">
        <f t="shared" ref="BC46" si="296">IFERROR((BC45*BE45),"")</f>
        <v/>
      </c>
      <c r="BD46" s="111"/>
      <c r="BE46" s="111"/>
      <c r="BF46" s="110" t="str">
        <f t="shared" ref="BF46" si="297">IFERROR((BF45*BH45),"")</f>
        <v/>
      </c>
      <c r="BG46" s="111"/>
      <c r="BH46" s="111"/>
      <c r="BI46" s="110" t="str">
        <f t="shared" ref="BI46" si="298">IFERROR((BI45*BK45),"")</f>
        <v/>
      </c>
      <c r="BJ46" s="111"/>
      <c r="BK46" s="146"/>
      <c r="BL46" s="133"/>
      <c r="BM46" s="135"/>
      <c r="BN46" s="137"/>
    </row>
    <row r="47" spans="2:66" ht="24.95" customHeight="1" x14ac:dyDescent="0.15">
      <c r="B47" s="129"/>
      <c r="C47" s="116" t="s">
        <v>74</v>
      </c>
      <c r="D47" s="118"/>
      <c r="E47" s="43"/>
      <c r="F47" s="63"/>
      <c r="G47" s="64" t="s">
        <v>12</v>
      </c>
      <c r="H47" s="65"/>
      <c r="I47" s="66" t="s">
        <v>13</v>
      </c>
      <c r="J47" s="64" t="s">
        <v>12</v>
      </c>
      <c r="K47" s="67" t="str">
        <f>IF(E47=0,"-",VLOOKUP(H47,データ!$B$21:$C$50,2))</f>
        <v>-</v>
      </c>
      <c r="L47" s="68"/>
      <c r="M47" s="198" t="str">
        <f t="shared" ref="M47" si="299">IF(E47&lt;75,"-",130)</f>
        <v>-</v>
      </c>
      <c r="N47" s="120" t="str">
        <f t="shared" ref="N47" si="300">IF(E47=0,"-",(IF((E47&lt;75),((0.0126+(0.01739-0.1087*(E47/1000))/SQRT(Q47))*Q47^2/((E47/1000)*2*9.8)*1000),0)))</f>
        <v>-</v>
      </c>
      <c r="O47" s="120" t="str">
        <f t="shared" ref="O47" si="301">IF(E47=0,"-",(IF((E47&gt;=75),((10.666*(M47)^-1.85*(E47/1000)^-4.87*(L48/60/1000)^1.85)*1000),0)))</f>
        <v>-</v>
      </c>
      <c r="P47" s="120" t="str">
        <f t="shared" ref="P47" si="302">IF(E47=0,"-",IF(N47&gt;O47,N47,O47))</f>
        <v>-</v>
      </c>
      <c r="Q47" s="139" t="str">
        <f t="shared" ref="Q47" si="303">IF(E47=0,"-",ROUND(((L48/1000/60)/(((E47/1000)/2)^2*3.14)),2))</f>
        <v>-</v>
      </c>
      <c r="R47" s="66"/>
      <c r="S47" s="69" t="str">
        <f>IF(U47&gt;0,(IFERROR(VLOOKUP($E47,データ!$B$3:$Q$14,2,FALSE),"")),"")</f>
        <v/>
      </c>
      <c r="T47" s="70" t="s">
        <v>76</v>
      </c>
      <c r="U47" s="71"/>
      <c r="V47" s="69" t="str">
        <f>IF(X47&gt;0,(IFERROR(VLOOKUP($E47,データ!$B$3:$Q$14,3,FALSE),"")),"")</f>
        <v/>
      </c>
      <c r="W47" s="70" t="s">
        <v>76</v>
      </c>
      <c r="X47" s="71"/>
      <c r="Y47" s="69" t="str">
        <f>IF(AA47&gt;0,(IFERROR(VLOOKUP($E47,データ!$B$3:$Q$14,4,FALSE),"")),"")</f>
        <v/>
      </c>
      <c r="Z47" s="70" t="s">
        <v>76</v>
      </c>
      <c r="AA47" s="71"/>
      <c r="AB47" s="69" t="str">
        <f>IF(AD47&gt;0,(IFERROR(VLOOKUP($E47,データ!$B$3:$Q$14,5,FALSE),"")),"")</f>
        <v/>
      </c>
      <c r="AC47" s="70" t="s">
        <v>76</v>
      </c>
      <c r="AD47" s="71"/>
      <c r="AE47" s="69" t="str">
        <f>IF(AG47&gt;0,(IFERROR(VLOOKUP($E47,データ!$B$3:$Q$14,6,FALSE),"")),"")</f>
        <v/>
      </c>
      <c r="AF47" s="70" t="s">
        <v>76</v>
      </c>
      <c r="AG47" s="71"/>
      <c r="AH47" s="69" t="str">
        <f>IF(AJ47&gt;0,(IFERROR(VLOOKUP($E47,データ!$B$3:$Q$14,7,FALSE),"")),"")</f>
        <v/>
      </c>
      <c r="AI47" s="70" t="s">
        <v>76</v>
      </c>
      <c r="AJ47" s="71"/>
      <c r="AK47" s="69" t="str">
        <f>IF(AM47&gt;0,(IFERROR(VLOOKUP($E47,データ!$B$3:$Q$14,8,FALSE),"")),"")</f>
        <v/>
      </c>
      <c r="AL47" s="70" t="s">
        <v>76</v>
      </c>
      <c r="AM47" s="71"/>
      <c r="AN47" s="69" t="str">
        <f>IF(AP47&gt;0,(IFERROR(VLOOKUP($E47,データ!$B$3:$Q$14,9,FALSE),"")),"")</f>
        <v/>
      </c>
      <c r="AO47" s="70" t="s">
        <v>76</v>
      </c>
      <c r="AP47" s="71"/>
      <c r="AQ47" s="69" t="str">
        <f>IF(AS47&gt;0,(IFERROR(VLOOKUP($E47,データ!$B$3:$Q$14,10,FALSE),"")),"")</f>
        <v/>
      </c>
      <c r="AR47" s="70" t="s">
        <v>76</v>
      </c>
      <c r="AS47" s="71"/>
      <c r="AT47" s="69" t="str">
        <f>IF(AV47&gt;0,(IFERROR(VLOOKUP($E47,データ!$B$3:$Q$14,11,FALSE),"")),"")</f>
        <v/>
      </c>
      <c r="AU47" s="70" t="s">
        <v>76</v>
      </c>
      <c r="AV47" s="71"/>
      <c r="AW47" s="69" t="str">
        <f>IF(AY47&gt;0,(IFERROR(VLOOKUP($E47,データ!$B$3:$Q$14,12,FALSE),"")),"")</f>
        <v/>
      </c>
      <c r="AX47" s="70" t="s">
        <v>76</v>
      </c>
      <c r="AY47" s="71"/>
      <c r="AZ47" s="69" t="str">
        <f>IF(BB47&gt;0,(IFERROR(VLOOKUP($E47,データ!$B$3:$Q$14,13,FALSE),"")),"")</f>
        <v/>
      </c>
      <c r="BA47" s="70" t="s">
        <v>76</v>
      </c>
      <c r="BB47" s="71"/>
      <c r="BC47" s="69" t="str">
        <f>IF(BE47&gt;0,(IFERROR(VLOOKUP($E47,データ!$B$3:$Q$14,14,FALSE),"")),"")</f>
        <v/>
      </c>
      <c r="BD47" s="70" t="s">
        <v>76</v>
      </c>
      <c r="BE47" s="71"/>
      <c r="BF47" s="69" t="str">
        <f>IF(BH47&gt;0,(IFERROR(VLOOKUP($E47,データ!$B$3:$Q$14,15,FALSE),"")),"")</f>
        <v/>
      </c>
      <c r="BG47" s="70" t="s">
        <v>76</v>
      </c>
      <c r="BH47" s="71"/>
      <c r="BI47" s="69" t="str">
        <f>IF(BK47&gt;0,(IFERROR(VLOOKUP($E47,データ!$B$3:$Q$14,16,FALSE),"")),"")</f>
        <v/>
      </c>
      <c r="BJ47" s="70" t="s">
        <v>76</v>
      </c>
      <c r="BK47" s="72"/>
      <c r="BL47" s="133" t="str">
        <f t="shared" ref="BL47" si="304">IF(E47=0,"-",(SUM(R48,S48,V48,Y48,AB48,AE48,AH48,AK48,AN48,AQ48,AT48,AW48,AZ48,BC48,BF48,BI48)))</f>
        <v>-</v>
      </c>
      <c r="BM47" s="144" t="str">
        <f t="shared" ref="BM47" si="305">IF(E47=0,"-",(BL47*1.1))</f>
        <v>-</v>
      </c>
      <c r="BN47" s="141" t="str">
        <f t="shared" ref="BN47" si="306">IF(E47=0,"-",(ROUND(((P47/1000)*BM47),2)))</f>
        <v>-</v>
      </c>
    </row>
    <row r="48" spans="2:66" ht="24.95" customHeight="1" x14ac:dyDescent="0.15">
      <c r="B48" s="130"/>
      <c r="C48" s="117"/>
      <c r="D48" s="119"/>
      <c r="E48" s="21" t="s">
        <v>41</v>
      </c>
      <c r="F48" s="73"/>
      <c r="G48" s="74"/>
      <c r="H48" s="75"/>
      <c r="I48" s="75"/>
      <c r="J48" s="75"/>
      <c r="K48" s="76"/>
      <c r="L48" s="61" t="str">
        <f>IF(E47=0,"-",F47*H47*K47)</f>
        <v>-</v>
      </c>
      <c r="M48" s="197"/>
      <c r="N48" s="121"/>
      <c r="O48" s="121"/>
      <c r="P48" s="121"/>
      <c r="Q48" s="140"/>
      <c r="R48" s="77"/>
      <c r="S48" s="110" t="str">
        <f>IFERROR((S47*U47),"")</f>
        <v/>
      </c>
      <c r="T48" s="111"/>
      <c r="U48" s="111"/>
      <c r="V48" s="110" t="str">
        <f t="shared" ref="V48" si="307">IFERROR((V47*X47),"")</f>
        <v/>
      </c>
      <c r="W48" s="111"/>
      <c r="X48" s="111"/>
      <c r="Y48" s="110" t="str">
        <f t="shared" ref="Y48" si="308">IFERROR((Y47*AA47),"")</f>
        <v/>
      </c>
      <c r="Z48" s="111"/>
      <c r="AA48" s="111"/>
      <c r="AB48" s="110" t="str">
        <f t="shared" ref="AB48" si="309">IFERROR((AB47*AD47),"")</f>
        <v/>
      </c>
      <c r="AC48" s="111"/>
      <c r="AD48" s="111"/>
      <c r="AE48" s="110" t="str">
        <f t="shared" ref="AE48" si="310">IFERROR((AE47*AG47),"")</f>
        <v/>
      </c>
      <c r="AF48" s="111"/>
      <c r="AG48" s="111"/>
      <c r="AH48" s="110" t="str">
        <f t="shared" ref="AH48" si="311">IFERROR((AH47*AJ47),"")</f>
        <v/>
      </c>
      <c r="AI48" s="111"/>
      <c r="AJ48" s="111"/>
      <c r="AK48" s="110" t="str">
        <f t="shared" ref="AK48" si="312">IFERROR((AK47*AM47),"")</f>
        <v/>
      </c>
      <c r="AL48" s="111"/>
      <c r="AM48" s="111"/>
      <c r="AN48" s="110" t="str">
        <f t="shared" ref="AN48" si="313">IFERROR((AN47*AP47),"")</f>
        <v/>
      </c>
      <c r="AO48" s="111"/>
      <c r="AP48" s="111"/>
      <c r="AQ48" s="110" t="str">
        <f t="shared" ref="AQ48" si="314">IFERROR((AQ47*AS47),"")</f>
        <v/>
      </c>
      <c r="AR48" s="111"/>
      <c r="AS48" s="111"/>
      <c r="AT48" s="110" t="str">
        <f t="shared" ref="AT48" si="315">IFERROR((AT47*AV47),"")</f>
        <v/>
      </c>
      <c r="AU48" s="111"/>
      <c r="AV48" s="111"/>
      <c r="AW48" s="110" t="str">
        <f t="shared" ref="AW48" si="316">IFERROR((AW47*AY47),"")</f>
        <v/>
      </c>
      <c r="AX48" s="111"/>
      <c r="AY48" s="111"/>
      <c r="AZ48" s="110" t="str">
        <f t="shared" ref="AZ48" si="317">IFERROR((AZ47*BB47),"")</f>
        <v/>
      </c>
      <c r="BA48" s="111"/>
      <c r="BB48" s="111"/>
      <c r="BC48" s="110" t="str">
        <f t="shared" ref="BC48" si="318">IFERROR((BC47*BE47),"")</f>
        <v/>
      </c>
      <c r="BD48" s="111"/>
      <c r="BE48" s="111"/>
      <c r="BF48" s="110" t="str">
        <f t="shared" ref="BF48" si="319">IFERROR((BF47*BH47),"")</f>
        <v/>
      </c>
      <c r="BG48" s="111"/>
      <c r="BH48" s="111"/>
      <c r="BI48" s="110" t="str">
        <f t="shared" ref="BI48" si="320">IFERROR((BI47*BK47),"")</f>
        <v/>
      </c>
      <c r="BJ48" s="111"/>
      <c r="BK48" s="146"/>
      <c r="BL48" s="133"/>
      <c r="BM48" s="135"/>
      <c r="BN48" s="137"/>
    </row>
    <row r="49" spans="2:66" ht="24.95" customHeight="1" x14ac:dyDescent="0.15">
      <c r="B49" s="129"/>
      <c r="C49" s="116" t="s">
        <v>74</v>
      </c>
      <c r="D49" s="118"/>
      <c r="E49" s="43"/>
      <c r="F49" s="63"/>
      <c r="G49" s="64" t="s">
        <v>12</v>
      </c>
      <c r="H49" s="65"/>
      <c r="I49" s="66" t="s">
        <v>13</v>
      </c>
      <c r="J49" s="64" t="s">
        <v>12</v>
      </c>
      <c r="K49" s="67" t="str">
        <f>IF(E49=0,"-",VLOOKUP(H49,データ!$B$21:$C$50,2))</f>
        <v>-</v>
      </c>
      <c r="L49" s="68"/>
      <c r="M49" s="198" t="str">
        <f t="shared" ref="M49" si="321">IF(E49&lt;75,"-",130)</f>
        <v>-</v>
      </c>
      <c r="N49" s="120" t="str">
        <f t="shared" ref="N49" si="322">IF(E49=0,"-",(IF((E49&lt;75),((0.0126+(0.01739-0.1087*(E49/1000))/SQRT(Q49))*Q49^2/((E49/1000)*2*9.8)*1000),0)))</f>
        <v>-</v>
      </c>
      <c r="O49" s="120" t="str">
        <f t="shared" ref="O49" si="323">IF(E49=0,"-",(IF((E49&gt;=75),((10.666*(M49)^-1.85*(E49/1000)^-4.87*(L50/60/1000)^1.85)*1000),0)))</f>
        <v>-</v>
      </c>
      <c r="P49" s="120" t="str">
        <f t="shared" ref="P49" si="324">IF(E49=0,"-",IF(N49&gt;O49,N49,O49))</f>
        <v>-</v>
      </c>
      <c r="Q49" s="139" t="str">
        <f t="shared" ref="Q49" si="325">IF(E49=0,"-",ROUND(((L50/1000/60)/(((E49/1000)/2)^2*3.14)),2))</f>
        <v>-</v>
      </c>
      <c r="R49" s="66"/>
      <c r="S49" s="69" t="str">
        <f>IF(U49&gt;0,(IFERROR(VLOOKUP($E49,データ!$B$3:$Q$14,2,FALSE),"")),"")</f>
        <v/>
      </c>
      <c r="T49" s="70" t="s">
        <v>76</v>
      </c>
      <c r="U49" s="71"/>
      <c r="V49" s="69" t="str">
        <f>IF(X49&gt;0,(IFERROR(VLOOKUP($E49,データ!$B$3:$Q$14,3,FALSE),"")),"")</f>
        <v/>
      </c>
      <c r="W49" s="70" t="s">
        <v>76</v>
      </c>
      <c r="X49" s="71"/>
      <c r="Y49" s="69" t="str">
        <f>IF(AA49&gt;0,(IFERROR(VLOOKUP($E49,データ!$B$3:$Q$14,4,FALSE),"")),"")</f>
        <v/>
      </c>
      <c r="Z49" s="70" t="s">
        <v>76</v>
      </c>
      <c r="AA49" s="71"/>
      <c r="AB49" s="69" t="str">
        <f>IF(AD49&gt;0,(IFERROR(VLOOKUP($E49,データ!$B$3:$Q$14,5,FALSE),"")),"")</f>
        <v/>
      </c>
      <c r="AC49" s="70" t="s">
        <v>76</v>
      </c>
      <c r="AD49" s="71"/>
      <c r="AE49" s="69" t="str">
        <f>IF(AG49&gt;0,(IFERROR(VLOOKUP($E49,データ!$B$3:$Q$14,6,FALSE),"")),"")</f>
        <v/>
      </c>
      <c r="AF49" s="70" t="s">
        <v>76</v>
      </c>
      <c r="AG49" s="71"/>
      <c r="AH49" s="69" t="str">
        <f>IF(AJ49&gt;0,(IFERROR(VLOOKUP($E49,データ!$B$3:$Q$14,7,FALSE),"")),"")</f>
        <v/>
      </c>
      <c r="AI49" s="70" t="s">
        <v>76</v>
      </c>
      <c r="AJ49" s="71"/>
      <c r="AK49" s="69" t="str">
        <f>IF(AM49&gt;0,(IFERROR(VLOOKUP($E49,データ!$B$3:$Q$14,8,FALSE),"")),"")</f>
        <v/>
      </c>
      <c r="AL49" s="70" t="s">
        <v>76</v>
      </c>
      <c r="AM49" s="71"/>
      <c r="AN49" s="69" t="str">
        <f>IF(AP49&gt;0,(IFERROR(VLOOKUP($E49,データ!$B$3:$Q$14,9,FALSE),"")),"")</f>
        <v/>
      </c>
      <c r="AO49" s="70" t="s">
        <v>76</v>
      </c>
      <c r="AP49" s="71"/>
      <c r="AQ49" s="69" t="str">
        <f>IF(AS49&gt;0,(IFERROR(VLOOKUP($E49,データ!$B$3:$Q$14,10,FALSE),"")),"")</f>
        <v/>
      </c>
      <c r="AR49" s="70" t="s">
        <v>76</v>
      </c>
      <c r="AS49" s="71"/>
      <c r="AT49" s="69" t="str">
        <f>IF(AV49&gt;0,(IFERROR(VLOOKUP($E49,データ!$B$3:$Q$14,11,FALSE),"")),"")</f>
        <v/>
      </c>
      <c r="AU49" s="70" t="s">
        <v>76</v>
      </c>
      <c r="AV49" s="71"/>
      <c r="AW49" s="69" t="str">
        <f>IF(AY49&gt;0,(IFERROR(VLOOKUP($E49,データ!$B$3:$Q$14,12,FALSE),"")),"")</f>
        <v/>
      </c>
      <c r="AX49" s="70" t="s">
        <v>76</v>
      </c>
      <c r="AY49" s="71"/>
      <c r="AZ49" s="69" t="str">
        <f>IF(BB49&gt;0,(IFERROR(VLOOKUP($E49,データ!$B$3:$Q$14,13,FALSE),"")),"")</f>
        <v/>
      </c>
      <c r="BA49" s="70" t="s">
        <v>76</v>
      </c>
      <c r="BB49" s="71"/>
      <c r="BC49" s="69" t="str">
        <f>IF(BE49&gt;0,(IFERROR(VLOOKUP($E49,データ!$B$3:$Q$14,14,FALSE),"")),"")</f>
        <v/>
      </c>
      <c r="BD49" s="70" t="s">
        <v>76</v>
      </c>
      <c r="BE49" s="71"/>
      <c r="BF49" s="69" t="str">
        <f>IF(BH49&gt;0,(IFERROR(VLOOKUP($E49,データ!$B$3:$Q$14,15,FALSE),"")),"")</f>
        <v/>
      </c>
      <c r="BG49" s="70" t="s">
        <v>76</v>
      </c>
      <c r="BH49" s="71"/>
      <c r="BI49" s="69" t="str">
        <f>IF(BK49&gt;0,(IFERROR(VLOOKUP($E49,データ!$B$3:$Q$14,16,FALSE),"")),"")</f>
        <v/>
      </c>
      <c r="BJ49" s="70" t="s">
        <v>76</v>
      </c>
      <c r="BK49" s="72"/>
      <c r="BL49" s="133" t="str">
        <f t="shared" ref="BL49" si="326">IF(E49=0,"-",(SUM(R50,S50,V50,Y50,AB50,AE50,AH50,AK50,AN50,AQ50,AT50,AW50,AZ50,BC50,BF50,BI50)))</f>
        <v>-</v>
      </c>
      <c r="BM49" s="135" t="str">
        <f t="shared" ref="BM49" si="327">IF(E49=0,"-",(BL49*1.1))</f>
        <v>-</v>
      </c>
      <c r="BN49" s="141" t="str">
        <f t="shared" ref="BN49" si="328">IF(E49=0,"-",(ROUND(((P49/1000)*BM49),2)))</f>
        <v>-</v>
      </c>
    </row>
    <row r="50" spans="2:66" ht="24.95" customHeight="1" x14ac:dyDescent="0.15">
      <c r="B50" s="130"/>
      <c r="C50" s="117"/>
      <c r="D50" s="119"/>
      <c r="E50" s="21" t="s">
        <v>41</v>
      </c>
      <c r="F50" s="73"/>
      <c r="G50" s="74"/>
      <c r="H50" s="75"/>
      <c r="I50" s="75"/>
      <c r="J50" s="75"/>
      <c r="K50" s="76"/>
      <c r="L50" s="61" t="str">
        <f>IF(E49=0,"-",F49*H49*K49)</f>
        <v>-</v>
      </c>
      <c r="M50" s="197"/>
      <c r="N50" s="121"/>
      <c r="O50" s="121"/>
      <c r="P50" s="121"/>
      <c r="Q50" s="140"/>
      <c r="R50" s="77"/>
      <c r="S50" s="110" t="str">
        <f>IFERROR((S49*U49),"")</f>
        <v/>
      </c>
      <c r="T50" s="111"/>
      <c r="U50" s="111"/>
      <c r="V50" s="110" t="str">
        <f t="shared" ref="V50" si="329">IFERROR((V49*X49),"")</f>
        <v/>
      </c>
      <c r="W50" s="111"/>
      <c r="X50" s="111"/>
      <c r="Y50" s="110" t="str">
        <f t="shared" ref="Y50" si="330">IFERROR((Y49*AA49),"")</f>
        <v/>
      </c>
      <c r="Z50" s="111"/>
      <c r="AA50" s="111"/>
      <c r="AB50" s="110" t="str">
        <f t="shared" ref="AB50" si="331">IFERROR((AB49*AD49),"")</f>
        <v/>
      </c>
      <c r="AC50" s="111"/>
      <c r="AD50" s="111"/>
      <c r="AE50" s="110" t="str">
        <f t="shared" ref="AE50" si="332">IFERROR((AE49*AG49),"")</f>
        <v/>
      </c>
      <c r="AF50" s="111"/>
      <c r="AG50" s="111"/>
      <c r="AH50" s="110" t="str">
        <f t="shared" ref="AH50" si="333">IFERROR((AH49*AJ49),"")</f>
        <v/>
      </c>
      <c r="AI50" s="111"/>
      <c r="AJ50" s="111"/>
      <c r="AK50" s="110" t="str">
        <f t="shared" ref="AK50" si="334">IFERROR((AK49*AM49),"")</f>
        <v/>
      </c>
      <c r="AL50" s="111"/>
      <c r="AM50" s="111"/>
      <c r="AN50" s="110" t="str">
        <f t="shared" ref="AN50" si="335">IFERROR((AN49*AP49),"")</f>
        <v/>
      </c>
      <c r="AO50" s="111"/>
      <c r="AP50" s="111"/>
      <c r="AQ50" s="110" t="str">
        <f t="shared" ref="AQ50" si="336">IFERROR((AQ49*AS49),"")</f>
        <v/>
      </c>
      <c r="AR50" s="111"/>
      <c r="AS50" s="111"/>
      <c r="AT50" s="110" t="str">
        <f t="shared" ref="AT50" si="337">IFERROR((AT49*AV49),"")</f>
        <v/>
      </c>
      <c r="AU50" s="111"/>
      <c r="AV50" s="111"/>
      <c r="AW50" s="110" t="str">
        <f t="shared" ref="AW50" si="338">IFERROR((AW49*AY49),"")</f>
        <v/>
      </c>
      <c r="AX50" s="111"/>
      <c r="AY50" s="111"/>
      <c r="AZ50" s="110" t="str">
        <f t="shared" ref="AZ50" si="339">IFERROR((AZ49*BB49),"")</f>
        <v/>
      </c>
      <c r="BA50" s="111"/>
      <c r="BB50" s="111"/>
      <c r="BC50" s="110" t="str">
        <f t="shared" ref="BC50" si="340">IFERROR((BC49*BE49),"")</f>
        <v/>
      </c>
      <c r="BD50" s="111"/>
      <c r="BE50" s="111"/>
      <c r="BF50" s="110" t="str">
        <f t="shared" ref="BF50" si="341">IFERROR((BF49*BH49),"")</f>
        <v/>
      </c>
      <c r="BG50" s="111"/>
      <c r="BH50" s="111"/>
      <c r="BI50" s="110" t="str">
        <f t="shared" ref="BI50" si="342">IFERROR((BI49*BK49),"")</f>
        <v/>
      </c>
      <c r="BJ50" s="111"/>
      <c r="BK50" s="146"/>
      <c r="BL50" s="133"/>
      <c r="BM50" s="135"/>
      <c r="BN50" s="137"/>
    </row>
    <row r="51" spans="2:66" ht="24.95" customHeight="1" x14ac:dyDescent="0.15">
      <c r="B51" s="129"/>
      <c r="C51" s="116" t="s">
        <v>74</v>
      </c>
      <c r="D51" s="118"/>
      <c r="E51" s="43"/>
      <c r="F51" s="63"/>
      <c r="G51" s="64" t="s">
        <v>12</v>
      </c>
      <c r="H51" s="65"/>
      <c r="I51" s="66" t="s">
        <v>13</v>
      </c>
      <c r="J51" s="64" t="s">
        <v>12</v>
      </c>
      <c r="K51" s="67" t="str">
        <f>IF(E51=0,"-",VLOOKUP(H51,データ!$B$21:$C$50,2))</f>
        <v>-</v>
      </c>
      <c r="L51" s="68"/>
      <c r="M51" s="198" t="str">
        <f t="shared" ref="M51" si="343">IF(E51&lt;75,"-",130)</f>
        <v>-</v>
      </c>
      <c r="N51" s="120" t="str">
        <f t="shared" ref="N51" si="344">IF(E51=0,"-",(IF((E51&lt;75),((0.0126+(0.01739-0.1087*(E51/1000))/SQRT(Q51))*Q51^2/((E51/1000)*2*9.8)*1000),0)))</f>
        <v>-</v>
      </c>
      <c r="O51" s="120" t="str">
        <f t="shared" ref="O51" si="345">IF(E51=0,"-",(IF((E51&gt;=75),((10.666*(M51)^-1.85*(E51/1000)^-4.87*(L52/60/1000)^1.85)*1000),0)))</f>
        <v>-</v>
      </c>
      <c r="P51" s="120" t="str">
        <f t="shared" ref="P51" si="346">IF(E51=0,"-",IF(N51&gt;O51,N51,O51))</f>
        <v>-</v>
      </c>
      <c r="Q51" s="139" t="str">
        <f t="shared" ref="Q51" si="347">IF(E51=0,"-",ROUND(((L52/1000/60)/(((E51/1000)/2)^2*3.14)),2))</f>
        <v>-</v>
      </c>
      <c r="R51" s="66"/>
      <c r="S51" s="69" t="str">
        <f>IF(U51&gt;0,(IFERROR(VLOOKUP($E51,データ!$B$3:$Q$14,2,FALSE),"")),"")</f>
        <v/>
      </c>
      <c r="T51" s="70" t="s">
        <v>76</v>
      </c>
      <c r="U51" s="71"/>
      <c r="V51" s="69" t="str">
        <f>IF(X51&gt;0,(IFERROR(VLOOKUP($E51,データ!$B$3:$Q$14,3,FALSE),"")),"")</f>
        <v/>
      </c>
      <c r="W51" s="70" t="s">
        <v>76</v>
      </c>
      <c r="X51" s="71"/>
      <c r="Y51" s="69" t="str">
        <f>IF(AA51&gt;0,(IFERROR(VLOOKUP($E51,データ!$B$3:$Q$14,4,FALSE),"")),"")</f>
        <v/>
      </c>
      <c r="Z51" s="70" t="s">
        <v>76</v>
      </c>
      <c r="AA51" s="71"/>
      <c r="AB51" s="69" t="str">
        <f>IF(AD51&gt;0,(IFERROR(VLOOKUP($E51,データ!$B$3:$Q$14,5,FALSE),"")),"")</f>
        <v/>
      </c>
      <c r="AC51" s="70" t="s">
        <v>76</v>
      </c>
      <c r="AD51" s="71"/>
      <c r="AE51" s="69" t="str">
        <f>IF(AG51&gt;0,(IFERROR(VLOOKUP($E51,データ!$B$3:$Q$14,6,FALSE),"")),"")</f>
        <v/>
      </c>
      <c r="AF51" s="70" t="s">
        <v>76</v>
      </c>
      <c r="AG51" s="71"/>
      <c r="AH51" s="69" t="str">
        <f>IF(AJ51&gt;0,(IFERROR(VLOOKUP($E51,データ!$B$3:$Q$14,7,FALSE),"")),"")</f>
        <v/>
      </c>
      <c r="AI51" s="70" t="s">
        <v>76</v>
      </c>
      <c r="AJ51" s="71"/>
      <c r="AK51" s="69" t="str">
        <f>IF(AM51&gt;0,(IFERROR(VLOOKUP($E51,データ!$B$3:$Q$14,8,FALSE),"")),"")</f>
        <v/>
      </c>
      <c r="AL51" s="70" t="s">
        <v>76</v>
      </c>
      <c r="AM51" s="71"/>
      <c r="AN51" s="69" t="str">
        <f>IF(AP51&gt;0,(IFERROR(VLOOKUP($E51,データ!$B$3:$Q$14,9,FALSE),"")),"")</f>
        <v/>
      </c>
      <c r="AO51" s="70" t="s">
        <v>76</v>
      </c>
      <c r="AP51" s="71"/>
      <c r="AQ51" s="69" t="str">
        <f>IF(AS51&gt;0,(IFERROR(VLOOKUP($E51,データ!$B$3:$Q$14,10,FALSE),"")),"")</f>
        <v/>
      </c>
      <c r="AR51" s="70" t="s">
        <v>76</v>
      </c>
      <c r="AS51" s="71"/>
      <c r="AT51" s="69" t="str">
        <f>IF(AV51&gt;0,(IFERROR(VLOOKUP($E51,データ!$B$3:$Q$14,11,FALSE),"")),"")</f>
        <v/>
      </c>
      <c r="AU51" s="70" t="s">
        <v>76</v>
      </c>
      <c r="AV51" s="71"/>
      <c r="AW51" s="69" t="str">
        <f>IF(AY51&gt;0,(IFERROR(VLOOKUP($E51,データ!$B$3:$Q$14,12,FALSE),"")),"")</f>
        <v/>
      </c>
      <c r="AX51" s="70" t="s">
        <v>76</v>
      </c>
      <c r="AY51" s="71"/>
      <c r="AZ51" s="69" t="str">
        <f>IF(BB51&gt;0,(IFERROR(VLOOKUP($E51,データ!$B$3:$Q$14,13,FALSE),"")),"")</f>
        <v/>
      </c>
      <c r="BA51" s="70" t="s">
        <v>76</v>
      </c>
      <c r="BB51" s="71"/>
      <c r="BC51" s="69" t="str">
        <f>IF(BE51&gt;0,(IFERROR(VLOOKUP($E51,データ!$B$3:$Q$14,14,FALSE),"")),"")</f>
        <v/>
      </c>
      <c r="BD51" s="70" t="s">
        <v>76</v>
      </c>
      <c r="BE51" s="71"/>
      <c r="BF51" s="69" t="str">
        <f>IF(BH51&gt;0,(IFERROR(VLOOKUP($E51,データ!$B$3:$Q$14,15,FALSE),"")),"")</f>
        <v/>
      </c>
      <c r="BG51" s="70" t="s">
        <v>76</v>
      </c>
      <c r="BH51" s="71"/>
      <c r="BI51" s="69" t="str">
        <f>IF(BK51&gt;0,(IFERROR(VLOOKUP($E51,データ!$B$3:$Q$14,16,FALSE),"")),"")</f>
        <v/>
      </c>
      <c r="BJ51" s="70" t="s">
        <v>76</v>
      </c>
      <c r="BK51" s="72"/>
      <c r="BL51" s="133" t="str">
        <f t="shared" ref="BL51" si="348">IF(E51=0,"-",(SUM(R52,S52,V52,Y52,AB52,AE52,AH52,AK52,AN52,AQ52,AT52,AW52,AZ52,BC52,BF52,BI52)))</f>
        <v>-</v>
      </c>
      <c r="BM51" s="135" t="str">
        <f t="shared" ref="BM51" si="349">IF(E51=0,"-",(BL51*1.1))</f>
        <v>-</v>
      </c>
      <c r="BN51" s="141" t="str">
        <f t="shared" ref="BN51" si="350">IF(E51=0,"-",(ROUND(((P51/1000)*BM51),2)))</f>
        <v>-</v>
      </c>
    </row>
    <row r="52" spans="2:66" ht="24.95" customHeight="1" x14ac:dyDescent="0.15">
      <c r="B52" s="130"/>
      <c r="C52" s="117"/>
      <c r="D52" s="119"/>
      <c r="E52" s="21" t="s">
        <v>41</v>
      </c>
      <c r="F52" s="73"/>
      <c r="G52" s="74"/>
      <c r="H52" s="75"/>
      <c r="I52" s="75"/>
      <c r="J52" s="75"/>
      <c r="K52" s="76"/>
      <c r="L52" s="61" t="str">
        <f>IF(E51=0,"-",F51*H51*K51)</f>
        <v>-</v>
      </c>
      <c r="M52" s="197"/>
      <c r="N52" s="121"/>
      <c r="O52" s="121"/>
      <c r="P52" s="121"/>
      <c r="Q52" s="140"/>
      <c r="R52" s="77"/>
      <c r="S52" s="110" t="str">
        <f>IFERROR((S51*U51),"")</f>
        <v/>
      </c>
      <c r="T52" s="111"/>
      <c r="U52" s="111"/>
      <c r="V52" s="110" t="str">
        <f t="shared" ref="V52" si="351">IFERROR((V51*X51),"")</f>
        <v/>
      </c>
      <c r="W52" s="111"/>
      <c r="X52" s="111"/>
      <c r="Y52" s="110" t="str">
        <f t="shared" ref="Y52" si="352">IFERROR((Y51*AA51),"")</f>
        <v/>
      </c>
      <c r="Z52" s="111"/>
      <c r="AA52" s="111"/>
      <c r="AB52" s="110" t="str">
        <f t="shared" ref="AB52" si="353">IFERROR((AB51*AD51),"")</f>
        <v/>
      </c>
      <c r="AC52" s="111"/>
      <c r="AD52" s="111"/>
      <c r="AE52" s="110" t="str">
        <f t="shared" ref="AE52" si="354">IFERROR((AE51*AG51),"")</f>
        <v/>
      </c>
      <c r="AF52" s="111"/>
      <c r="AG52" s="111"/>
      <c r="AH52" s="110" t="str">
        <f t="shared" ref="AH52" si="355">IFERROR((AH51*AJ51),"")</f>
        <v/>
      </c>
      <c r="AI52" s="111"/>
      <c r="AJ52" s="111"/>
      <c r="AK52" s="110" t="str">
        <f t="shared" ref="AK52" si="356">IFERROR((AK51*AM51),"")</f>
        <v/>
      </c>
      <c r="AL52" s="111"/>
      <c r="AM52" s="111"/>
      <c r="AN52" s="110" t="str">
        <f t="shared" ref="AN52" si="357">IFERROR((AN51*AP51),"")</f>
        <v/>
      </c>
      <c r="AO52" s="111"/>
      <c r="AP52" s="111"/>
      <c r="AQ52" s="110" t="str">
        <f t="shared" ref="AQ52" si="358">IFERROR((AQ51*AS51),"")</f>
        <v/>
      </c>
      <c r="AR52" s="111"/>
      <c r="AS52" s="111"/>
      <c r="AT52" s="110" t="str">
        <f t="shared" ref="AT52" si="359">IFERROR((AT51*AV51),"")</f>
        <v/>
      </c>
      <c r="AU52" s="111"/>
      <c r="AV52" s="111"/>
      <c r="AW52" s="110" t="str">
        <f t="shared" ref="AW52" si="360">IFERROR((AW51*AY51),"")</f>
        <v/>
      </c>
      <c r="AX52" s="111"/>
      <c r="AY52" s="111"/>
      <c r="AZ52" s="110" t="str">
        <f t="shared" ref="AZ52" si="361">IFERROR((AZ51*BB51),"")</f>
        <v/>
      </c>
      <c r="BA52" s="111"/>
      <c r="BB52" s="111"/>
      <c r="BC52" s="110" t="str">
        <f t="shared" ref="BC52" si="362">IFERROR((BC51*BE51),"")</f>
        <v/>
      </c>
      <c r="BD52" s="111"/>
      <c r="BE52" s="111"/>
      <c r="BF52" s="110" t="str">
        <f t="shared" ref="BF52" si="363">IFERROR((BF51*BH51),"")</f>
        <v/>
      </c>
      <c r="BG52" s="111"/>
      <c r="BH52" s="111"/>
      <c r="BI52" s="110" t="str">
        <f t="shared" ref="BI52" si="364">IFERROR((BI51*BK51),"")</f>
        <v/>
      </c>
      <c r="BJ52" s="111"/>
      <c r="BK52" s="146"/>
      <c r="BL52" s="133"/>
      <c r="BM52" s="135"/>
      <c r="BN52" s="137"/>
    </row>
    <row r="53" spans="2:66" ht="24.95" customHeight="1" x14ac:dyDescent="0.15">
      <c r="B53" s="131"/>
      <c r="C53" s="112" t="s">
        <v>74</v>
      </c>
      <c r="D53" s="114"/>
      <c r="E53" s="43"/>
      <c r="F53" s="78"/>
      <c r="G53" s="70" t="s">
        <v>12</v>
      </c>
      <c r="H53" s="79"/>
      <c r="I53" s="80" t="s">
        <v>13</v>
      </c>
      <c r="J53" s="70" t="s">
        <v>12</v>
      </c>
      <c r="K53" s="81" t="str">
        <f>IF(E53=0,"-",VLOOKUP(H53,データ!$B$21:$C$50,2))</f>
        <v>-</v>
      </c>
      <c r="L53" s="82"/>
      <c r="M53" s="198" t="str">
        <f t="shared" ref="M53" si="365">IF(E53&lt;75,"-",130)</f>
        <v>-</v>
      </c>
      <c r="N53" s="120" t="str">
        <f t="shared" ref="N53" si="366">IF(E53=0,"-",(IF((E53&lt;75),((0.0126+(0.01739-0.1087*(E53/1000))/SQRT(Q53))*Q53^2/((E53/1000)*2*9.8)*1000),0)))</f>
        <v>-</v>
      </c>
      <c r="O53" s="120" t="str">
        <f t="shared" ref="O53" si="367">IF(E53=0,"-",(IF((E53&gt;=75),((10.666*(M53)^-1.85*(E53/1000)^-4.87*(L54/60/1000)^1.85)*1000),0)))</f>
        <v>-</v>
      </c>
      <c r="P53" s="120" t="str">
        <f t="shared" ref="P53" si="368">IF(E53=0,"-",IF(N53&gt;O53,N53,O53))</f>
        <v>-</v>
      </c>
      <c r="Q53" s="187" t="str">
        <f t="shared" ref="Q53" si="369">IF(E53=0,"-",ROUND(((L54/1000/60)/(((E53/1000)/2)^2*3.14)),2))</f>
        <v>-</v>
      </c>
      <c r="R53" s="80"/>
      <c r="S53" s="69" t="str">
        <f>IF(U53&gt;0,(IFERROR(VLOOKUP($E53,データ!$B$3:$Q$14,2,FALSE),"")),"")</f>
        <v/>
      </c>
      <c r="T53" s="70" t="s">
        <v>76</v>
      </c>
      <c r="U53" s="71"/>
      <c r="V53" s="69" t="str">
        <f>IF(X53&gt;0,(IFERROR(VLOOKUP($E53,データ!$B$3:$Q$14,3,FALSE),"")),"")</f>
        <v/>
      </c>
      <c r="W53" s="70" t="s">
        <v>76</v>
      </c>
      <c r="X53" s="71"/>
      <c r="Y53" s="69" t="str">
        <f>IF(AA53&gt;0,(IFERROR(VLOOKUP($E53,データ!$B$3:$Q$14,4,FALSE),"")),"")</f>
        <v/>
      </c>
      <c r="Z53" s="70" t="s">
        <v>76</v>
      </c>
      <c r="AA53" s="71"/>
      <c r="AB53" s="69" t="str">
        <f>IF(AD53&gt;0,(IFERROR(VLOOKUP($E53,データ!$B$3:$Q$14,5,FALSE),"")),"")</f>
        <v/>
      </c>
      <c r="AC53" s="70" t="s">
        <v>76</v>
      </c>
      <c r="AD53" s="71"/>
      <c r="AE53" s="69" t="str">
        <f>IF(AG53&gt;0,(IFERROR(VLOOKUP($E53,データ!$B$3:$Q$14,6,FALSE),"")),"")</f>
        <v/>
      </c>
      <c r="AF53" s="70" t="s">
        <v>76</v>
      </c>
      <c r="AG53" s="71"/>
      <c r="AH53" s="69" t="str">
        <f>IF(AJ53&gt;0,(IFERROR(VLOOKUP($E53,データ!$B$3:$Q$14,7,FALSE),"")),"")</f>
        <v/>
      </c>
      <c r="AI53" s="70" t="s">
        <v>76</v>
      </c>
      <c r="AJ53" s="71"/>
      <c r="AK53" s="69" t="str">
        <f>IF(AM53&gt;0,(IFERROR(VLOOKUP($E53,データ!$B$3:$Q$14,8,FALSE),"")),"")</f>
        <v/>
      </c>
      <c r="AL53" s="70" t="s">
        <v>76</v>
      </c>
      <c r="AM53" s="71"/>
      <c r="AN53" s="69" t="str">
        <f>IF(AP53&gt;0,(IFERROR(VLOOKUP($E53,データ!$B$3:$Q$14,9,FALSE),"")),"")</f>
        <v/>
      </c>
      <c r="AO53" s="70" t="s">
        <v>76</v>
      </c>
      <c r="AP53" s="71"/>
      <c r="AQ53" s="69" t="str">
        <f>IF(AS53&gt;0,(IFERROR(VLOOKUP($E53,データ!$B$3:$Q$14,10,FALSE),"")),"")</f>
        <v/>
      </c>
      <c r="AR53" s="70" t="s">
        <v>76</v>
      </c>
      <c r="AS53" s="71"/>
      <c r="AT53" s="69" t="str">
        <f>IF(AV53&gt;0,(IFERROR(VLOOKUP($E53,データ!$B$3:$Q$14,11,FALSE),"")),"")</f>
        <v/>
      </c>
      <c r="AU53" s="70" t="s">
        <v>76</v>
      </c>
      <c r="AV53" s="71"/>
      <c r="AW53" s="69" t="str">
        <f>IF(AY53&gt;0,(IFERROR(VLOOKUP($E53,データ!$B$3:$Q$14,12,FALSE),"")),"")</f>
        <v/>
      </c>
      <c r="AX53" s="70" t="s">
        <v>76</v>
      </c>
      <c r="AY53" s="71"/>
      <c r="AZ53" s="69" t="str">
        <f>IF(BB53&gt;0,(IFERROR(VLOOKUP($E53,データ!$B$3:$Q$14,13,FALSE),"")),"")</f>
        <v/>
      </c>
      <c r="BA53" s="70" t="s">
        <v>76</v>
      </c>
      <c r="BB53" s="71"/>
      <c r="BC53" s="69" t="str">
        <f>IF(BE53&gt;0,(IFERROR(VLOOKUP($E53,データ!$B$3:$Q$14,14,FALSE),"")),"")</f>
        <v/>
      </c>
      <c r="BD53" s="70" t="s">
        <v>76</v>
      </c>
      <c r="BE53" s="71"/>
      <c r="BF53" s="69" t="str">
        <f>IF(BH53&gt;0,(IFERROR(VLOOKUP($E53,データ!$B$3:$Q$14,15,FALSE),"")),"")</f>
        <v/>
      </c>
      <c r="BG53" s="70" t="s">
        <v>76</v>
      </c>
      <c r="BH53" s="71"/>
      <c r="BI53" s="69" t="str">
        <f>IF(BK53&gt;0,(IFERROR(VLOOKUP($E53,データ!$B$3:$Q$14,16,FALSE),"")),"")</f>
        <v/>
      </c>
      <c r="BJ53" s="70" t="s">
        <v>76</v>
      </c>
      <c r="BK53" s="72"/>
      <c r="BL53" s="133" t="str">
        <f t="shared" ref="BL53" si="370">IF(E53=0,"-",(SUM(R54,S54,V54,Y54,AB54,AE54,AH54,AK54,AN54,AQ54,AT54,AW54,AZ54,BC54,BF54,BI54)))</f>
        <v>-</v>
      </c>
      <c r="BM53" s="135" t="str">
        <f t="shared" ref="BM53" si="371">IF(E53=0,"-",(BL53*1.1))</f>
        <v>-</v>
      </c>
      <c r="BN53" s="137" t="str">
        <f t="shared" ref="BN53" si="372">IF(E53=0,"-",(ROUND(((P53/1000)*BM53),2)))</f>
        <v>-</v>
      </c>
    </row>
    <row r="54" spans="2:66" ht="24.95" customHeight="1" thickBot="1" x14ac:dyDescent="0.2">
      <c r="B54" s="132"/>
      <c r="C54" s="113"/>
      <c r="D54" s="115"/>
      <c r="E54" s="24" t="s">
        <v>41</v>
      </c>
      <c r="F54" s="83"/>
      <c r="G54" s="84"/>
      <c r="H54" s="84"/>
      <c r="I54" s="84"/>
      <c r="J54" s="84"/>
      <c r="K54" s="84"/>
      <c r="L54" s="85" t="str">
        <f>IF(E53=0,"-",F53*H53*K53)</f>
        <v>-</v>
      </c>
      <c r="M54" s="199"/>
      <c r="N54" s="122"/>
      <c r="O54" s="122"/>
      <c r="P54" s="122"/>
      <c r="Q54" s="188"/>
      <c r="R54" s="86"/>
      <c r="S54" s="142" t="str">
        <f>IFERROR((S53*U53),"")</f>
        <v/>
      </c>
      <c r="T54" s="143"/>
      <c r="U54" s="143"/>
      <c r="V54" s="142" t="str">
        <f t="shared" ref="V54" si="373">IFERROR((V53*X53),"")</f>
        <v/>
      </c>
      <c r="W54" s="143"/>
      <c r="X54" s="143"/>
      <c r="Y54" s="142" t="str">
        <f t="shared" ref="Y54" si="374">IFERROR((Y53*AA53),"")</f>
        <v/>
      </c>
      <c r="Z54" s="143"/>
      <c r="AA54" s="143"/>
      <c r="AB54" s="142" t="str">
        <f t="shared" ref="AB54" si="375">IFERROR((AB53*AD53),"")</f>
        <v/>
      </c>
      <c r="AC54" s="143"/>
      <c r="AD54" s="143"/>
      <c r="AE54" s="142" t="str">
        <f t="shared" ref="AE54" si="376">IFERROR((AE53*AG53),"")</f>
        <v/>
      </c>
      <c r="AF54" s="143"/>
      <c r="AG54" s="143"/>
      <c r="AH54" s="142" t="str">
        <f t="shared" ref="AH54" si="377">IFERROR((AH53*AJ53),"")</f>
        <v/>
      </c>
      <c r="AI54" s="143"/>
      <c r="AJ54" s="143"/>
      <c r="AK54" s="142" t="str">
        <f t="shared" ref="AK54" si="378">IFERROR((AK53*AM53),"")</f>
        <v/>
      </c>
      <c r="AL54" s="143"/>
      <c r="AM54" s="143"/>
      <c r="AN54" s="142" t="str">
        <f t="shared" ref="AN54" si="379">IFERROR((AN53*AP53),"")</f>
        <v/>
      </c>
      <c r="AO54" s="143"/>
      <c r="AP54" s="143"/>
      <c r="AQ54" s="142" t="str">
        <f t="shared" ref="AQ54" si="380">IFERROR((AQ53*AS53),"")</f>
        <v/>
      </c>
      <c r="AR54" s="143"/>
      <c r="AS54" s="143"/>
      <c r="AT54" s="142" t="str">
        <f t="shared" ref="AT54" si="381">IFERROR((AT53*AV53),"")</f>
        <v/>
      </c>
      <c r="AU54" s="143"/>
      <c r="AV54" s="143"/>
      <c r="AW54" s="142" t="str">
        <f t="shared" ref="AW54" si="382">IFERROR((AW53*AY53),"")</f>
        <v/>
      </c>
      <c r="AX54" s="143"/>
      <c r="AY54" s="143"/>
      <c r="AZ54" s="142" t="str">
        <f t="shared" ref="AZ54" si="383">IFERROR((AZ53*BB53),"")</f>
        <v/>
      </c>
      <c r="BA54" s="143"/>
      <c r="BB54" s="143"/>
      <c r="BC54" s="142" t="str">
        <f t="shared" ref="BC54" si="384">IFERROR((BC53*BE53),"")</f>
        <v/>
      </c>
      <c r="BD54" s="143"/>
      <c r="BE54" s="143"/>
      <c r="BF54" s="142" t="str">
        <f t="shared" ref="BF54" si="385">IFERROR((BF53*BH53),"")</f>
        <v/>
      </c>
      <c r="BG54" s="143"/>
      <c r="BH54" s="143"/>
      <c r="BI54" s="142" t="str">
        <f t="shared" ref="BI54" si="386">IFERROR((BI53*BK53),"")</f>
        <v/>
      </c>
      <c r="BJ54" s="143"/>
      <c r="BK54" s="200"/>
      <c r="BL54" s="134"/>
      <c r="BM54" s="136"/>
      <c r="BN54" s="138"/>
    </row>
    <row r="55" spans="2:66" ht="30" customHeight="1" thickBot="1" x14ac:dyDescent="0.2">
      <c r="B55" s="190" t="s">
        <v>75</v>
      </c>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27">
        <f>SUM(BN19:BN54)</f>
        <v>0</v>
      </c>
    </row>
    <row r="56" spans="2:66" ht="30" customHeight="1" thickBot="1" x14ac:dyDescent="0.2">
      <c r="B56" s="28"/>
      <c r="C56" s="28"/>
      <c r="D56" s="28"/>
      <c r="E56" s="28"/>
      <c r="F56" s="28"/>
      <c r="G56" s="28"/>
      <c r="H56" s="28"/>
      <c r="I56" s="28"/>
      <c r="J56" s="28"/>
      <c r="K56" s="28"/>
      <c r="L56" s="28"/>
      <c r="M56" s="28"/>
      <c r="N56" s="28"/>
      <c r="O56" s="28"/>
      <c r="P56" s="28"/>
      <c r="Q56" s="28"/>
      <c r="R56" s="28"/>
      <c r="S56" s="28"/>
      <c r="T56" s="32"/>
      <c r="U56" s="32"/>
      <c r="V56" s="95" t="s">
        <v>97</v>
      </c>
      <c r="W56" s="95"/>
      <c r="X56" s="95"/>
      <c r="Y56" s="95"/>
      <c r="Z56" s="95" t="s">
        <v>88</v>
      </c>
      <c r="AA56" s="95"/>
      <c r="AB56" s="105" t="s">
        <v>106</v>
      </c>
      <c r="AC56" s="106"/>
      <c r="AD56" s="106"/>
      <c r="AE56" s="106"/>
      <c r="AF56" s="107" t="s">
        <v>105</v>
      </c>
      <c r="AG56" s="108"/>
      <c r="AH56" s="32"/>
      <c r="AI56" s="32"/>
      <c r="AJ56" s="32"/>
      <c r="AK56" s="32"/>
      <c r="AL56" s="32"/>
      <c r="AM56" s="32"/>
      <c r="AN56" s="32"/>
      <c r="AO56" s="32"/>
      <c r="AP56" s="32"/>
      <c r="AQ56" s="32"/>
      <c r="AR56" s="32"/>
      <c r="AS56" s="32"/>
      <c r="AT56" s="32"/>
      <c r="AU56" s="28"/>
      <c r="AV56" s="28"/>
      <c r="AW56" s="28"/>
      <c r="AX56" s="28"/>
      <c r="AY56" s="28"/>
      <c r="AZ56" s="28"/>
      <c r="BA56" s="28"/>
      <c r="BB56" s="28"/>
      <c r="BC56" s="28"/>
      <c r="BD56" s="28"/>
      <c r="BE56" s="28"/>
      <c r="BF56" s="28"/>
      <c r="BG56" s="28"/>
      <c r="BH56" s="28"/>
      <c r="BI56" s="28"/>
      <c r="BJ56" s="28"/>
      <c r="BK56" s="28"/>
      <c r="BL56" s="28"/>
      <c r="BM56" s="28"/>
      <c r="BN56" s="30"/>
    </row>
    <row r="57" spans="2:66" ht="30" customHeight="1" x14ac:dyDescent="0.15">
      <c r="B57" s="28"/>
      <c r="C57" s="28"/>
      <c r="D57" s="28"/>
      <c r="E57" s="28"/>
      <c r="F57" s="28"/>
      <c r="G57" s="28"/>
      <c r="H57" s="28"/>
      <c r="J57" s="28"/>
      <c r="K57" s="28"/>
      <c r="L57" s="28"/>
      <c r="M57" s="28"/>
      <c r="N57" s="28"/>
      <c r="O57" s="28"/>
      <c r="P57" s="28"/>
      <c r="Q57" s="28"/>
      <c r="R57" s="28"/>
      <c r="BC57" s="28"/>
      <c r="BD57" s="28"/>
      <c r="BE57" s="28"/>
      <c r="BF57" s="28"/>
      <c r="BG57" s="28"/>
      <c r="BH57" s="28"/>
      <c r="BI57" s="28"/>
      <c r="BJ57" s="28"/>
      <c r="BK57" s="28"/>
      <c r="BL57" s="28"/>
      <c r="BM57" s="28"/>
      <c r="BN57" s="30"/>
    </row>
    <row r="58" spans="2:66" ht="30" customHeight="1" thickBot="1" x14ac:dyDescent="0.2">
      <c r="B58" s="28"/>
      <c r="C58" s="28"/>
      <c r="D58" s="28"/>
      <c r="E58" s="28"/>
      <c r="F58" s="28"/>
      <c r="G58" s="28"/>
      <c r="H58" s="28"/>
      <c r="J58" s="28"/>
      <c r="K58" s="28"/>
      <c r="M58" s="28"/>
      <c r="N58" s="28"/>
      <c r="O58" s="28"/>
      <c r="P58" s="28"/>
      <c r="Q58" s="28"/>
      <c r="R58" s="28"/>
      <c r="S58" s="28"/>
      <c r="AB58" s="28" t="s">
        <v>80</v>
      </c>
      <c r="AC58" s="28"/>
      <c r="AD58" s="28"/>
      <c r="AE58" s="28"/>
      <c r="AF58" s="28"/>
      <c r="AG58" s="28"/>
      <c r="AH58" s="28" t="s">
        <v>73</v>
      </c>
      <c r="AI58" s="28"/>
      <c r="AJ58" s="28"/>
      <c r="AK58" s="28"/>
      <c r="AL58" s="28"/>
      <c r="AM58" s="28"/>
      <c r="AN58" s="28" t="s">
        <v>84</v>
      </c>
      <c r="AO58" s="28"/>
      <c r="AP58" s="28"/>
      <c r="AQ58" s="28"/>
      <c r="AR58" s="28"/>
      <c r="AS58" s="28"/>
      <c r="AT58" s="28" t="s">
        <v>83</v>
      </c>
      <c r="AU58" s="28"/>
      <c r="AV58" s="28"/>
      <c r="AW58" s="28"/>
      <c r="AX58" s="28"/>
      <c r="AY58" s="28"/>
      <c r="AZ58" s="28" t="s">
        <v>82</v>
      </c>
      <c r="BA58" s="28"/>
      <c r="BB58" s="28"/>
      <c r="BC58" s="28"/>
      <c r="BD58" s="28"/>
      <c r="BE58" s="28"/>
      <c r="BF58" s="28" t="s">
        <v>81</v>
      </c>
      <c r="BG58" s="28"/>
      <c r="BH58" s="28"/>
      <c r="BI58" s="28"/>
      <c r="BJ58" s="28"/>
      <c r="BK58" s="28"/>
      <c r="BL58" s="28"/>
      <c r="BM58" s="28"/>
      <c r="BN58" s="30"/>
    </row>
    <row r="59" spans="2:66" ht="30" customHeight="1" thickBot="1" x14ac:dyDescent="0.2">
      <c r="B59" s="28"/>
      <c r="C59" s="28"/>
      <c r="D59" s="28"/>
      <c r="E59" s="28"/>
      <c r="F59" s="28"/>
      <c r="G59" s="28"/>
      <c r="H59" s="28"/>
      <c r="I59" s="28"/>
      <c r="J59" s="28"/>
      <c r="K59" s="28"/>
      <c r="M59" s="28"/>
      <c r="N59" s="28"/>
      <c r="O59" s="28"/>
      <c r="Q59" s="28"/>
      <c r="R59" s="28"/>
      <c r="S59" s="28"/>
      <c r="T59" s="28"/>
      <c r="U59" s="28"/>
      <c r="V59" s="95" t="s">
        <v>19</v>
      </c>
      <c r="W59" s="95"/>
      <c r="X59" s="95"/>
      <c r="Y59" s="95"/>
      <c r="Z59" s="95" t="s">
        <v>88</v>
      </c>
      <c r="AA59" s="100"/>
      <c r="AB59" s="192">
        <f>VLOOKUP(AB56,データ!G21:H23,2)</f>
        <v>20</v>
      </c>
      <c r="AC59" s="193"/>
      <c r="AD59" s="193"/>
      <c r="AE59" s="31" t="s">
        <v>20</v>
      </c>
      <c r="AF59" s="109" t="s">
        <v>85</v>
      </c>
      <c r="AG59" s="100"/>
      <c r="AH59" s="105"/>
      <c r="AI59" s="106"/>
      <c r="AJ59" s="106"/>
      <c r="AK59" s="31" t="s">
        <v>20</v>
      </c>
      <c r="AL59" s="99" t="s">
        <v>86</v>
      </c>
      <c r="AM59" s="100"/>
      <c r="AN59" s="105"/>
      <c r="AO59" s="106"/>
      <c r="AP59" s="106"/>
      <c r="AQ59" s="31" t="s">
        <v>20</v>
      </c>
      <c r="AR59" s="99" t="s">
        <v>86</v>
      </c>
      <c r="AS59" s="100"/>
      <c r="AT59" s="105"/>
      <c r="AU59" s="106"/>
      <c r="AV59" s="106"/>
      <c r="AW59" s="31" t="s">
        <v>20</v>
      </c>
      <c r="AX59" s="99" t="s">
        <v>86</v>
      </c>
      <c r="AY59" s="100"/>
      <c r="AZ59" s="105"/>
      <c r="BA59" s="106"/>
      <c r="BB59" s="106"/>
      <c r="BC59" s="31" t="s">
        <v>20</v>
      </c>
      <c r="BD59" s="99" t="s">
        <v>86</v>
      </c>
      <c r="BE59" s="100"/>
      <c r="BF59" s="105"/>
      <c r="BG59" s="106"/>
      <c r="BH59" s="106"/>
      <c r="BI59" s="31" t="s">
        <v>20</v>
      </c>
      <c r="BJ59" s="99" t="s">
        <v>87</v>
      </c>
      <c r="BK59" s="95"/>
      <c r="BL59" s="28"/>
      <c r="BM59" s="28"/>
      <c r="BN59" s="30"/>
    </row>
    <row r="60" spans="2:66" ht="30" customHeight="1" thickBot="1" x14ac:dyDescent="0.2">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30"/>
    </row>
    <row r="61" spans="2:66" ht="30" customHeight="1" thickBot="1" x14ac:dyDescent="0.2">
      <c r="B61" s="8"/>
      <c r="C61" s="8"/>
      <c r="D61" s="8"/>
      <c r="E61" s="8"/>
      <c r="F61" s="8"/>
      <c r="G61" s="8"/>
      <c r="H61" s="8"/>
      <c r="I61" s="8"/>
      <c r="J61" s="8"/>
      <c r="K61" s="8"/>
      <c r="L61" s="8"/>
      <c r="M61" s="10"/>
      <c r="N61" s="8"/>
      <c r="O61" s="15"/>
      <c r="P61" s="20"/>
      <c r="Q61" s="8"/>
      <c r="R61" s="8"/>
      <c r="S61" s="23"/>
      <c r="T61" s="8"/>
      <c r="U61" s="8"/>
      <c r="V61" s="23"/>
      <c r="W61" s="8"/>
      <c r="X61" s="8"/>
      <c r="Y61" s="23"/>
      <c r="Z61" s="95" t="s">
        <v>88</v>
      </c>
      <c r="AA61" s="95"/>
      <c r="AB61" s="194">
        <f>AB59-(AH59+AN59+AT59+AZ59+BF59)</f>
        <v>20</v>
      </c>
      <c r="AC61" s="195"/>
      <c r="AD61" s="195"/>
      <c r="AE61" s="31" t="s">
        <v>20</v>
      </c>
      <c r="AF61" s="164"/>
      <c r="AG61" s="165"/>
      <c r="AH61" s="101" t="s">
        <v>89</v>
      </c>
      <c r="AI61" s="101"/>
      <c r="AJ61" s="101"/>
      <c r="AK61" s="102" t="str">
        <f>IF(AB61&gt;BN55,"OK!","NG!")</f>
        <v>OK!</v>
      </c>
      <c r="AL61" s="103"/>
      <c r="AM61" s="104"/>
      <c r="AN61" s="23"/>
      <c r="AO61" s="8"/>
      <c r="AP61" s="8"/>
      <c r="AQ61" s="23"/>
      <c r="AR61" s="8"/>
      <c r="AS61" s="8"/>
      <c r="AT61" s="23"/>
      <c r="AU61" s="14"/>
      <c r="AV61" s="14"/>
      <c r="AW61" s="23"/>
      <c r="AX61" s="14"/>
      <c r="AY61" s="14"/>
      <c r="AZ61" s="23"/>
      <c r="BA61" s="14"/>
      <c r="BB61" s="14"/>
      <c r="BC61" s="23"/>
      <c r="BD61" s="14"/>
      <c r="BE61" s="14"/>
      <c r="BF61" s="23"/>
      <c r="BG61" s="14"/>
      <c r="BH61" s="14"/>
      <c r="BI61" s="23"/>
      <c r="BJ61" s="8"/>
      <c r="BK61" s="8"/>
      <c r="BL61" s="8"/>
      <c r="BM61" s="8"/>
      <c r="BN61" s="7"/>
    </row>
    <row r="62" spans="2:66" ht="30" customHeight="1" thickBot="1" x14ac:dyDescent="0.2">
      <c r="B62" s="5"/>
      <c r="C62" s="5"/>
      <c r="D62" s="5"/>
      <c r="E62" s="5"/>
      <c r="F62" s="5"/>
      <c r="G62" s="5"/>
      <c r="H62" s="5"/>
      <c r="I62" s="5"/>
      <c r="J62" s="5"/>
      <c r="K62" s="5"/>
      <c r="L62" s="5"/>
      <c r="N62" s="5"/>
      <c r="O62" s="5"/>
      <c r="P62" s="5"/>
      <c r="Q62" s="191"/>
      <c r="R62" s="191"/>
      <c r="S62" s="191"/>
      <c r="T62" s="191"/>
      <c r="U62" s="191"/>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9" t="s">
        <v>110</v>
      </c>
      <c r="BD62" s="89"/>
      <c r="BE62" s="89"/>
      <c r="BF62" s="89"/>
      <c r="BG62" s="89"/>
      <c r="BH62" s="89"/>
      <c r="BI62" s="89"/>
      <c r="BJ62" s="89"/>
      <c r="BK62" s="89"/>
      <c r="BL62" s="89"/>
      <c r="BM62" s="89"/>
      <c r="BN62" s="89"/>
    </row>
    <row r="63" spans="2:66" s="3" customFormat="1" ht="30" customHeight="1" thickBot="1" x14ac:dyDescent="0.2">
      <c r="B63" s="6"/>
      <c r="C63" s="6"/>
      <c r="D63" s="6"/>
      <c r="E63" s="6"/>
      <c r="F63" s="6"/>
      <c r="G63" s="6"/>
      <c r="H63" s="6"/>
      <c r="I63" s="6"/>
      <c r="J63" s="6"/>
      <c r="K63" s="6"/>
      <c r="L63" s="6"/>
      <c r="M63" s="11"/>
      <c r="N63" s="6"/>
      <c r="O63" s="6"/>
      <c r="P63" s="6"/>
      <c r="Q63" s="6"/>
      <c r="R63" s="6"/>
      <c r="S63" s="189"/>
      <c r="T63" s="189"/>
      <c r="U63" s="189"/>
      <c r="V63" s="95" t="s">
        <v>121</v>
      </c>
      <c r="W63" s="95"/>
      <c r="X63" s="95"/>
      <c r="Y63" s="95"/>
      <c r="Z63" s="95" t="s">
        <v>88</v>
      </c>
      <c r="AA63" s="95"/>
      <c r="AB63" s="96" t="str">
        <f>IF((AH59+AN59+AT59+AZ59+BF59)&lt;=6,"直結直圧給水",(IF((AH59+AN59+AT59+AZ59+BF59)&lt;=9,"３階直結直圧給水",(IF((AH59+AN59+AT59+AZ59+BF59)&lt;=12,"４階直結直圧給水","NG!")))))</f>
        <v>直結直圧給水</v>
      </c>
      <c r="AC63" s="97"/>
      <c r="AD63" s="97"/>
      <c r="AE63" s="97"/>
      <c r="AF63" s="97"/>
      <c r="AG63" s="98"/>
      <c r="AH63" s="88"/>
      <c r="AI63" s="88"/>
      <c r="AJ63" s="88"/>
      <c r="AK63" s="88"/>
      <c r="AL63" s="88"/>
      <c r="AM63" s="88"/>
      <c r="AN63" s="88"/>
      <c r="AO63" s="88"/>
      <c r="AP63" s="88"/>
      <c r="AQ63" s="88"/>
      <c r="AR63" s="88"/>
      <c r="AS63" s="88"/>
      <c r="AT63" s="88"/>
      <c r="AU63" s="88"/>
      <c r="AV63" s="88"/>
      <c r="AW63" s="88"/>
      <c r="AX63" s="88"/>
      <c r="AY63" s="88"/>
      <c r="AZ63" s="88"/>
      <c r="BA63" s="88"/>
      <c r="BB63" s="88"/>
      <c r="BC63" s="89"/>
      <c r="BD63" s="89"/>
      <c r="BE63" s="89"/>
      <c r="BF63" s="89"/>
      <c r="BG63" s="89"/>
      <c r="BH63" s="89"/>
      <c r="BI63" s="89"/>
      <c r="BJ63" s="89"/>
      <c r="BK63" s="89"/>
      <c r="BL63" s="89"/>
      <c r="BM63" s="89"/>
      <c r="BN63" s="89"/>
    </row>
    <row r="64" spans="2:66" ht="20.25" customHeight="1" thickBot="1" x14ac:dyDescent="0.2">
      <c r="N64" s="1"/>
      <c r="O64" s="1"/>
      <c r="P64" s="1"/>
    </row>
    <row r="65" spans="2:66" s="3" customFormat="1" ht="30" customHeight="1" thickBot="1" x14ac:dyDescent="0.2">
      <c r="B65" s="6"/>
      <c r="C65" s="6"/>
      <c r="D65" s="6"/>
      <c r="E65" s="6"/>
      <c r="F65" s="6"/>
      <c r="G65" s="6"/>
      <c r="H65" s="6"/>
      <c r="I65" s="6"/>
      <c r="J65" s="6"/>
      <c r="K65" s="6"/>
      <c r="L65" s="6"/>
      <c r="M65" s="11"/>
      <c r="N65" s="6"/>
      <c r="O65" s="6"/>
      <c r="P65" s="6"/>
      <c r="Q65" s="6"/>
      <c r="R65" s="6"/>
      <c r="S65" s="189"/>
      <c r="T65" s="189"/>
      <c r="U65" s="189"/>
      <c r="V65" s="95" t="s">
        <v>122</v>
      </c>
      <c r="W65" s="95"/>
      <c r="X65" s="95"/>
      <c r="Y65" s="95"/>
      <c r="Z65" s="95" t="s">
        <v>88</v>
      </c>
      <c r="AA65" s="95"/>
      <c r="AB65" s="96" t="str">
        <f>IF(MAX(Q19:Q54)&lt;=2,"OK!","NG!")</f>
        <v>OK!</v>
      </c>
      <c r="AC65" s="97"/>
      <c r="AD65" s="97"/>
      <c r="AE65" s="97"/>
      <c r="AF65" s="97"/>
      <c r="AG65" s="98"/>
      <c r="AH65" s="90"/>
      <c r="AI65" s="90"/>
      <c r="AJ65" s="90"/>
      <c r="AK65" s="90"/>
      <c r="AL65" s="90"/>
      <c r="AM65" s="90"/>
      <c r="AN65" s="90"/>
      <c r="AO65" s="90"/>
      <c r="AP65" s="90"/>
      <c r="AQ65" s="90"/>
      <c r="AR65" s="90"/>
      <c r="AS65" s="90"/>
      <c r="AT65" s="90"/>
      <c r="AU65" s="90"/>
      <c r="AV65" s="90"/>
      <c r="AW65" s="90"/>
      <c r="AX65" s="90"/>
      <c r="AY65" s="90"/>
      <c r="AZ65" s="90"/>
      <c r="BA65" s="90"/>
      <c r="BB65" s="90"/>
      <c r="BC65" s="89"/>
      <c r="BD65" s="89"/>
      <c r="BE65" s="89"/>
      <c r="BF65" s="89"/>
      <c r="BG65" s="89"/>
      <c r="BH65" s="89"/>
      <c r="BI65" s="89"/>
      <c r="BJ65" s="89"/>
      <c r="BK65" s="89"/>
      <c r="BL65" s="89"/>
      <c r="BM65" s="89"/>
      <c r="BN65" s="89"/>
    </row>
  </sheetData>
  <sheetProtection algorithmName="SHA-512" hashValue="L1x+8vj40PVpfKTI3DKZ3mfoIH/sTNbayF3PmIBIGO5gqZ5EHsHLfNiHmYMGjfqbkjf6bWoPftqvh0wgoG+D9w==" saltValue="vgp/+RAOJE+9wEGOVUzW6Q==" spinCount="100000" sheet="1" objects="1" scenarios="1"/>
  <mergeCells count="543">
    <mergeCell ref="S65:U65"/>
    <mergeCell ref="V65:Y65"/>
    <mergeCell ref="Z65:AA65"/>
    <mergeCell ref="AB65:AG65"/>
    <mergeCell ref="BC52:BE52"/>
    <mergeCell ref="AK48:AM48"/>
    <mergeCell ref="B13:BN13"/>
    <mergeCell ref="R7:X7"/>
    <mergeCell ref="R10:X10"/>
    <mergeCell ref="Y7:AN8"/>
    <mergeCell ref="Y10:AN11"/>
    <mergeCell ref="AU9:BJ11"/>
    <mergeCell ref="V48:X48"/>
    <mergeCell ref="Y48:AA48"/>
    <mergeCell ref="AB48:AD48"/>
    <mergeCell ref="AE48:AG48"/>
    <mergeCell ref="AH48:AJ48"/>
    <mergeCell ref="Y44:AA44"/>
    <mergeCell ref="AB44:AD44"/>
    <mergeCell ref="AE44:AG44"/>
    <mergeCell ref="AH44:AJ44"/>
    <mergeCell ref="AK44:AM44"/>
    <mergeCell ref="AN44:AP44"/>
    <mergeCell ref="AQ44:AS44"/>
    <mergeCell ref="AT44:AV44"/>
    <mergeCell ref="AW44:AY44"/>
    <mergeCell ref="BF46:BH46"/>
    <mergeCell ref="BI46:BK46"/>
    <mergeCell ref="C4:F4"/>
    <mergeCell ref="C6:J6"/>
    <mergeCell ref="C7:J7"/>
    <mergeCell ref="BL9:BM11"/>
    <mergeCell ref="AT48:AV48"/>
    <mergeCell ref="BC48:BE48"/>
    <mergeCell ref="BF48:BH48"/>
    <mergeCell ref="BI48:BK48"/>
    <mergeCell ref="V44:X44"/>
    <mergeCell ref="BF38:BH38"/>
    <mergeCell ref="BI38:BK38"/>
    <mergeCell ref="V40:X40"/>
    <mergeCell ref="Y40:AA40"/>
    <mergeCell ref="AB40:AD40"/>
    <mergeCell ref="AE40:AG40"/>
    <mergeCell ref="AH40:AJ40"/>
    <mergeCell ref="AK40:AM40"/>
    <mergeCell ref="AN40:AP40"/>
    <mergeCell ref="AQ40:AS40"/>
    <mergeCell ref="AT40:AV40"/>
    <mergeCell ref="BF54:BH54"/>
    <mergeCell ref="BI54:BK54"/>
    <mergeCell ref="AZ50:BB50"/>
    <mergeCell ref="BC50:BE50"/>
    <mergeCell ref="BF50:BH50"/>
    <mergeCell ref="BI50:BK50"/>
    <mergeCell ref="AW52:AY52"/>
    <mergeCell ref="AZ52:BB52"/>
    <mergeCell ref="BF42:BH42"/>
    <mergeCell ref="BI52:BK52"/>
    <mergeCell ref="BI42:BK42"/>
    <mergeCell ref="AZ44:BB44"/>
    <mergeCell ref="BC44:BE44"/>
    <mergeCell ref="BF44:BH44"/>
    <mergeCell ref="BI44:BK44"/>
    <mergeCell ref="BF52:BH52"/>
    <mergeCell ref="AW40:AY40"/>
    <mergeCell ref="AZ40:BB40"/>
    <mergeCell ref="BC40:BE40"/>
    <mergeCell ref="BF40:BH40"/>
    <mergeCell ref="BI40:BK40"/>
    <mergeCell ref="AW38:AY38"/>
    <mergeCell ref="AZ38:BB38"/>
    <mergeCell ref="BC38:BE38"/>
    <mergeCell ref="BI34:BK34"/>
    <mergeCell ref="AW36:AY36"/>
    <mergeCell ref="AZ36:BB36"/>
    <mergeCell ref="BC36:BE36"/>
    <mergeCell ref="BF36:BH36"/>
    <mergeCell ref="BI36:BK36"/>
    <mergeCell ref="BC34:BE34"/>
    <mergeCell ref="BF34:BH34"/>
    <mergeCell ref="V36:X36"/>
    <mergeCell ref="Y36:AA36"/>
    <mergeCell ref="AB36:AD36"/>
    <mergeCell ref="AE36:AG36"/>
    <mergeCell ref="AH36:AJ36"/>
    <mergeCell ref="AK36:AM36"/>
    <mergeCell ref="AN36:AP36"/>
    <mergeCell ref="AQ36:AS36"/>
    <mergeCell ref="AT36:AV36"/>
    <mergeCell ref="AZ32:BB32"/>
    <mergeCell ref="BC32:BE32"/>
    <mergeCell ref="BF32:BH32"/>
    <mergeCell ref="BI32:BK32"/>
    <mergeCell ref="V30:X30"/>
    <mergeCell ref="Y30:AA30"/>
    <mergeCell ref="AB30:AD30"/>
    <mergeCell ref="AE30:AG30"/>
    <mergeCell ref="AH30:AJ30"/>
    <mergeCell ref="V32:X32"/>
    <mergeCell ref="Y32:AA32"/>
    <mergeCell ref="AB32:AD32"/>
    <mergeCell ref="AE32:AG32"/>
    <mergeCell ref="AH32:AJ32"/>
    <mergeCell ref="AK32:AM32"/>
    <mergeCell ref="AN32:AP32"/>
    <mergeCell ref="AQ32:AS32"/>
    <mergeCell ref="AT32:AV32"/>
    <mergeCell ref="AZ26:BB26"/>
    <mergeCell ref="BC26:BE26"/>
    <mergeCell ref="BF26:BH26"/>
    <mergeCell ref="BI26:BK26"/>
    <mergeCell ref="AW30:AY30"/>
    <mergeCell ref="AZ30:BB30"/>
    <mergeCell ref="BC30:BE30"/>
    <mergeCell ref="BF30:BH30"/>
    <mergeCell ref="BI30:BK30"/>
    <mergeCell ref="BI28:BK28"/>
    <mergeCell ref="AW20:AY20"/>
    <mergeCell ref="AZ20:BB20"/>
    <mergeCell ref="BC20:BE20"/>
    <mergeCell ref="BF20:BH20"/>
    <mergeCell ref="BI20:BK20"/>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 ref="BI22:BK22"/>
    <mergeCell ref="V20:X20"/>
    <mergeCell ref="Y20:AA20"/>
    <mergeCell ref="AB20:AD20"/>
    <mergeCell ref="AE20:AG20"/>
    <mergeCell ref="AH20:AJ20"/>
    <mergeCell ref="AK20:AM20"/>
    <mergeCell ref="AN20:AP20"/>
    <mergeCell ref="AQ20:AS20"/>
    <mergeCell ref="AT20:AV20"/>
    <mergeCell ref="S22:U22"/>
    <mergeCell ref="S24:U24"/>
    <mergeCell ref="S26:U26"/>
    <mergeCell ref="S28:U28"/>
    <mergeCell ref="S30:U30"/>
    <mergeCell ref="AK30:AM30"/>
    <mergeCell ref="AN30:AP30"/>
    <mergeCell ref="AQ30:AS30"/>
    <mergeCell ref="AT30:AV30"/>
    <mergeCell ref="V26:X26"/>
    <mergeCell ref="Y26:AA26"/>
    <mergeCell ref="AB26:AD26"/>
    <mergeCell ref="AE26:AG26"/>
    <mergeCell ref="AH26:AJ26"/>
    <mergeCell ref="AK26:AM26"/>
    <mergeCell ref="AN26:AP26"/>
    <mergeCell ref="AQ26:AS26"/>
    <mergeCell ref="AT26:AV26"/>
    <mergeCell ref="Y24:AA24"/>
    <mergeCell ref="AB24:AD24"/>
    <mergeCell ref="P19:P20"/>
    <mergeCell ref="P21:P22"/>
    <mergeCell ref="P23:P24"/>
    <mergeCell ref="P25:P26"/>
    <mergeCell ref="P27:P28"/>
    <mergeCell ref="P29:P30"/>
    <mergeCell ref="P31:P32"/>
    <mergeCell ref="N27:N28"/>
    <mergeCell ref="N29:N30"/>
    <mergeCell ref="N31:N32"/>
    <mergeCell ref="O25:O26"/>
    <mergeCell ref="O29:O30"/>
    <mergeCell ref="O19:O20"/>
    <mergeCell ref="M31:M32"/>
    <mergeCell ref="M29:M30"/>
    <mergeCell ref="N33:N34"/>
    <mergeCell ref="N35:N36"/>
    <mergeCell ref="N37:N38"/>
    <mergeCell ref="Q29:Q30"/>
    <mergeCell ref="O33:O34"/>
    <mergeCell ref="Q33:Q34"/>
    <mergeCell ref="O37:O38"/>
    <mergeCell ref="Q37:Q38"/>
    <mergeCell ref="AT52:AV52"/>
    <mergeCell ref="M19:M20"/>
    <mergeCell ref="M21:M22"/>
    <mergeCell ref="M23:M24"/>
    <mergeCell ref="M25:M26"/>
    <mergeCell ref="M27:M28"/>
    <mergeCell ref="M53:M54"/>
    <mergeCell ref="M51:M52"/>
    <mergeCell ref="M49:M50"/>
    <mergeCell ref="M47:M48"/>
    <mergeCell ref="M45:M46"/>
    <mergeCell ref="M43:M44"/>
    <mergeCell ref="M41:M42"/>
    <mergeCell ref="M39:M40"/>
    <mergeCell ref="M37:M38"/>
    <mergeCell ref="M35:M36"/>
    <mergeCell ref="M33:M34"/>
    <mergeCell ref="N39:N40"/>
    <mergeCell ref="N41:N42"/>
    <mergeCell ref="N43:N44"/>
    <mergeCell ref="N45:N46"/>
    <mergeCell ref="N47:N48"/>
    <mergeCell ref="N49:N50"/>
    <mergeCell ref="S38:U38"/>
    <mergeCell ref="O41:O42"/>
    <mergeCell ref="Q41:Q42"/>
    <mergeCell ref="O45:O46"/>
    <mergeCell ref="Q45:Q46"/>
    <mergeCell ref="O49:O50"/>
    <mergeCell ref="Q49:Q50"/>
    <mergeCell ref="O53:O54"/>
    <mergeCell ref="Q53:Q54"/>
    <mergeCell ref="S63:U63"/>
    <mergeCell ref="B55:BM55"/>
    <mergeCell ref="Q62:R62"/>
    <mergeCell ref="S62:U62"/>
    <mergeCell ref="AB59:AD59"/>
    <mergeCell ref="AH59:AJ59"/>
    <mergeCell ref="AN59:AP59"/>
    <mergeCell ref="AT59:AV59"/>
    <mergeCell ref="AZ59:BB59"/>
    <mergeCell ref="BF59:BH59"/>
    <mergeCell ref="V59:Y59"/>
    <mergeCell ref="BD59:BE59"/>
    <mergeCell ref="BJ59:BK59"/>
    <mergeCell ref="Z61:AA61"/>
    <mergeCell ref="AB61:AD61"/>
    <mergeCell ref="AF61:AG61"/>
    <mergeCell ref="B16:D18"/>
    <mergeCell ref="E16:E17"/>
    <mergeCell ref="F16:L17"/>
    <mergeCell ref="N16:N17"/>
    <mergeCell ref="Q16:Q17"/>
    <mergeCell ref="R16:BM16"/>
    <mergeCell ref="BL17:BL18"/>
    <mergeCell ref="BM17:BM18"/>
    <mergeCell ref="F18:L18"/>
    <mergeCell ref="V18:X18"/>
    <mergeCell ref="M16:M17"/>
    <mergeCell ref="AE17:AG18"/>
    <mergeCell ref="AH17:AJ18"/>
    <mergeCell ref="AK17:AM18"/>
    <mergeCell ref="AT17:AV18"/>
    <mergeCell ref="AW17:AY18"/>
    <mergeCell ref="AZ17:BB18"/>
    <mergeCell ref="BC17:BE18"/>
    <mergeCell ref="Y18:AA18"/>
    <mergeCell ref="BF17:BH18"/>
    <mergeCell ref="O16:O17"/>
    <mergeCell ref="P16:P17"/>
    <mergeCell ref="BM19:BM20"/>
    <mergeCell ref="BL25:BL26"/>
    <mergeCell ref="BM25:BM26"/>
    <mergeCell ref="BL29:BL30"/>
    <mergeCell ref="BM29:BM30"/>
    <mergeCell ref="BN19:BN20"/>
    <mergeCell ref="N21:N22"/>
    <mergeCell ref="Q21:Q22"/>
    <mergeCell ref="BL21:BL22"/>
    <mergeCell ref="BM21:BM22"/>
    <mergeCell ref="BN21:BN22"/>
    <mergeCell ref="N19:N20"/>
    <mergeCell ref="Q19:Q20"/>
    <mergeCell ref="BL19:BL20"/>
    <mergeCell ref="S20:U20"/>
    <mergeCell ref="O21:O22"/>
    <mergeCell ref="BN25:BN26"/>
    <mergeCell ref="N23:N24"/>
    <mergeCell ref="Q23:Q24"/>
    <mergeCell ref="BL23:BL24"/>
    <mergeCell ref="BM23:BM24"/>
    <mergeCell ref="BN23:BN24"/>
    <mergeCell ref="N25:N26"/>
    <mergeCell ref="V24:X24"/>
    <mergeCell ref="BN16:BN17"/>
    <mergeCell ref="R17:R18"/>
    <mergeCell ref="S17:U18"/>
    <mergeCell ref="V17:X17"/>
    <mergeCell ref="Y17:AA17"/>
    <mergeCell ref="AB17:AD18"/>
    <mergeCell ref="AN17:AP18"/>
    <mergeCell ref="AQ17:AS18"/>
    <mergeCell ref="BI17:BK18"/>
    <mergeCell ref="AE24:AG24"/>
    <mergeCell ref="AH24:AJ24"/>
    <mergeCell ref="AK24:AM24"/>
    <mergeCell ref="AN24:AP24"/>
    <mergeCell ref="AQ24:AS24"/>
    <mergeCell ref="AT24:AV24"/>
    <mergeCell ref="AW24:AY24"/>
    <mergeCell ref="AZ24:BB24"/>
    <mergeCell ref="BC24:BE24"/>
    <mergeCell ref="BF24:BH24"/>
    <mergeCell ref="BI24:BK24"/>
    <mergeCell ref="AW26:AY26"/>
    <mergeCell ref="O23:O24"/>
    <mergeCell ref="Q25:Q26"/>
    <mergeCell ref="BN29:BN30"/>
    <mergeCell ref="O27:O28"/>
    <mergeCell ref="Q27:Q28"/>
    <mergeCell ref="BL27:BL28"/>
    <mergeCell ref="BM27:BM28"/>
    <mergeCell ref="BN27:BN28"/>
    <mergeCell ref="V28:X28"/>
    <mergeCell ref="Y28:AA28"/>
    <mergeCell ref="AB28:AD28"/>
    <mergeCell ref="AE28:AG28"/>
    <mergeCell ref="AH28:AJ28"/>
    <mergeCell ref="AK28:AM28"/>
    <mergeCell ref="AN28:AP28"/>
    <mergeCell ref="AQ28:AS28"/>
    <mergeCell ref="AT28:AV28"/>
    <mergeCell ref="AW28:AY28"/>
    <mergeCell ref="AZ28:BB28"/>
    <mergeCell ref="BC28:BE28"/>
    <mergeCell ref="BF28:BH28"/>
    <mergeCell ref="S36:U36"/>
    <mergeCell ref="BL33:BL34"/>
    <mergeCell ref="BM33:BM34"/>
    <mergeCell ref="BN33:BN34"/>
    <mergeCell ref="O31:O32"/>
    <mergeCell ref="Q31:Q32"/>
    <mergeCell ref="BL31:BL32"/>
    <mergeCell ref="BM31:BM32"/>
    <mergeCell ref="BN31:BN32"/>
    <mergeCell ref="P33:P34"/>
    <mergeCell ref="V34:X34"/>
    <mergeCell ref="Y34:AA34"/>
    <mergeCell ref="AB34:AD34"/>
    <mergeCell ref="AE34:AG34"/>
    <mergeCell ref="AH34:AJ34"/>
    <mergeCell ref="AK34:AM34"/>
    <mergeCell ref="AN34:AP34"/>
    <mergeCell ref="AQ34:AS34"/>
    <mergeCell ref="AT34:AV34"/>
    <mergeCell ref="AW34:AY34"/>
    <mergeCell ref="AZ34:BB34"/>
    <mergeCell ref="S32:U32"/>
    <mergeCell ref="S34:U34"/>
    <mergeCell ref="AW32:AY32"/>
    <mergeCell ref="AQ42:AS42"/>
    <mergeCell ref="AT42:AV42"/>
    <mergeCell ref="AW42:AY42"/>
    <mergeCell ref="AZ42:BB42"/>
    <mergeCell ref="BC42:BE42"/>
    <mergeCell ref="BL37:BL38"/>
    <mergeCell ref="BM37:BM38"/>
    <mergeCell ref="BN37:BN38"/>
    <mergeCell ref="O35:O36"/>
    <mergeCell ref="Q35:Q36"/>
    <mergeCell ref="BL35:BL36"/>
    <mergeCell ref="BM35:BM36"/>
    <mergeCell ref="BN35:BN36"/>
    <mergeCell ref="P35:P36"/>
    <mergeCell ref="P37:P38"/>
    <mergeCell ref="V38:X38"/>
    <mergeCell ref="Y38:AA38"/>
    <mergeCell ref="AB38:AD38"/>
    <mergeCell ref="AE38:AG38"/>
    <mergeCell ref="AH38:AJ38"/>
    <mergeCell ref="AK38:AM38"/>
    <mergeCell ref="AN38:AP38"/>
    <mergeCell ref="AQ38:AS38"/>
    <mergeCell ref="AT38:AV38"/>
    <mergeCell ref="AQ46:AS46"/>
    <mergeCell ref="AT46:AV46"/>
    <mergeCell ref="AW46:AY46"/>
    <mergeCell ref="AZ46:BB46"/>
    <mergeCell ref="BC46:BE46"/>
    <mergeCell ref="BL41:BL42"/>
    <mergeCell ref="BM41:BM42"/>
    <mergeCell ref="BN41:BN42"/>
    <mergeCell ref="O39:O40"/>
    <mergeCell ref="Q39:Q40"/>
    <mergeCell ref="BL39:BL40"/>
    <mergeCell ref="BM39:BM40"/>
    <mergeCell ref="BN39:BN40"/>
    <mergeCell ref="P39:P40"/>
    <mergeCell ref="P41:P42"/>
    <mergeCell ref="S40:U40"/>
    <mergeCell ref="S42:U42"/>
    <mergeCell ref="V42:X42"/>
    <mergeCell ref="Y42:AA42"/>
    <mergeCell ref="AB42:AD42"/>
    <mergeCell ref="AE42:AG42"/>
    <mergeCell ref="AH42:AJ42"/>
    <mergeCell ref="AK42:AM42"/>
    <mergeCell ref="AN42:AP42"/>
    <mergeCell ref="AQ50:AS50"/>
    <mergeCell ref="AT50:AV50"/>
    <mergeCell ref="AW50:AY50"/>
    <mergeCell ref="AW48:AY48"/>
    <mergeCell ref="AZ48:BB48"/>
    <mergeCell ref="BL45:BL46"/>
    <mergeCell ref="BM45:BM46"/>
    <mergeCell ref="BN45:BN46"/>
    <mergeCell ref="O43:O44"/>
    <mergeCell ref="Q43:Q44"/>
    <mergeCell ref="BL43:BL44"/>
    <mergeCell ref="BM43:BM44"/>
    <mergeCell ref="BN43:BN44"/>
    <mergeCell ref="P43:P44"/>
    <mergeCell ref="P45:P46"/>
    <mergeCell ref="S44:U44"/>
    <mergeCell ref="S46:U46"/>
    <mergeCell ref="V46:X46"/>
    <mergeCell ref="Y46:AA46"/>
    <mergeCell ref="AB46:AD46"/>
    <mergeCell ref="AE46:AG46"/>
    <mergeCell ref="AH46:AJ46"/>
    <mergeCell ref="AK46:AM46"/>
    <mergeCell ref="AN46:AP46"/>
    <mergeCell ref="AQ54:AS54"/>
    <mergeCell ref="AT54:AV54"/>
    <mergeCell ref="AW54:AY54"/>
    <mergeCell ref="AZ54:BB54"/>
    <mergeCell ref="BC54:BE54"/>
    <mergeCell ref="BL49:BL50"/>
    <mergeCell ref="BM49:BM50"/>
    <mergeCell ref="BN49:BN50"/>
    <mergeCell ref="O47:O48"/>
    <mergeCell ref="Q47:Q48"/>
    <mergeCell ref="BL47:BL48"/>
    <mergeCell ref="BM47:BM48"/>
    <mergeCell ref="BN47:BN48"/>
    <mergeCell ref="P47:P48"/>
    <mergeCell ref="P49:P50"/>
    <mergeCell ref="S48:U48"/>
    <mergeCell ref="S50:U50"/>
    <mergeCell ref="V50:X50"/>
    <mergeCell ref="Y50:AA50"/>
    <mergeCell ref="AB50:AD50"/>
    <mergeCell ref="AE50:AG50"/>
    <mergeCell ref="AH50:AJ50"/>
    <mergeCell ref="AK50:AM50"/>
    <mergeCell ref="AN50:AP50"/>
    <mergeCell ref="B51:B52"/>
    <mergeCell ref="B53:B54"/>
    <mergeCell ref="C21:C22"/>
    <mergeCell ref="D21:D22"/>
    <mergeCell ref="C23:C24"/>
    <mergeCell ref="BL53:BL54"/>
    <mergeCell ref="BM53:BM54"/>
    <mergeCell ref="BN53:BN54"/>
    <mergeCell ref="O51:O52"/>
    <mergeCell ref="Q51:Q52"/>
    <mergeCell ref="BL51:BL52"/>
    <mergeCell ref="BM51:BM52"/>
    <mergeCell ref="BN51:BN52"/>
    <mergeCell ref="P51:P52"/>
    <mergeCell ref="P53:P54"/>
    <mergeCell ref="S52:U52"/>
    <mergeCell ref="S54:U54"/>
    <mergeCell ref="V54:X54"/>
    <mergeCell ref="Y54:AA54"/>
    <mergeCell ref="AB54:AD54"/>
    <mergeCell ref="AE54:AG54"/>
    <mergeCell ref="AH54:AJ54"/>
    <mergeCell ref="AK54:AM54"/>
    <mergeCell ref="AN54:AP54"/>
    <mergeCell ref="B33:B34"/>
    <mergeCell ref="B35:B36"/>
    <mergeCell ref="B37:B38"/>
    <mergeCell ref="B39:B40"/>
    <mergeCell ref="B41:B42"/>
    <mergeCell ref="B43:B44"/>
    <mergeCell ref="B45:B46"/>
    <mergeCell ref="B47:B48"/>
    <mergeCell ref="B49:B50"/>
    <mergeCell ref="C19:C20"/>
    <mergeCell ref="B19:B20"/>
    <mergeCell ref="D19:D20"/>
    <mergeCell ref="B21:B22"/>
    <mergeCell ref="B23:B24"/>
    <mergeCell ref="B25:B26"/>
    <mergeCell ref="B27:B28"/>
    <mergeCell ref="B29:B30"/>
    <mergeCell ref="B31:B32"/>
    <mergeCell ref="D23:D24"/>
    <mergeCell ref="C25:C26"/>
    <mergeCell ref="D25:D26"/>
    <mergeCell ref="C27:C28"/>
    <mergeCell ref="D27:D28"/>
    <mergeCell ref="C29:C30"/>
    <mergeCell ref="D29:D30"/>
    <mergeCell ref="C31:C32"/>
    <mergeCell ref="D31:D32"/>
    <mergeCell ref="C33:C34"/>
    <mergeCell ref="D33:D34"/>
    <mergeCell ref="C35:C36"/>
    <mergeCell ref="D35:D36"/>
    <mergeCell ref="C37:C38"/>
    <mergeCell ref="D37:D38"/>
    <mergeCell ref="C39:C40"/>
    <mergeCell ref="D39:D40"/>
    <mergeCell ref="C41:C42"/>
    <mergeCell ref="D41:D42"/>
    <mergeCell ref="AQ52:AS52"/>
    <mergeCell ref="C53:C54"/>
    <mergeCell ref="D53:D54"/>
    <mergeCell ref="C43:C44"/>
    <mergeCell ref="D43:D44"/>
    <mergeCell ref="C45:C46"/>
    <mergeCell ref="D45:D46"/>
    <mergeCell ref="C47:C48"/>
    <mergeCell ref="D47:D48"/>
    <mergeCell ref="C49:C50"/>
    <mergeCell ref="D49:D50"/>
    <mergeCell ref="C51:C52"/>
    <mergeCell ref="D51:D52"/>
    <mergeCell ref="AQ48:AS48"/>
    <mergeCell ref="N51:N52"/>
    <mergeCell ref="N53:N54"/>
    <mergeCell ref="V52:X52"/>
    <mergeCell ref="Y52:AA52"/>
    <mergeCell ref="AB52:AD52"/>
    <mergeCell ref="AE52:AG52"/>
    <mergeCell ref="AH52:AJ52"/>
    <mergeCell ref="AK52:AM52"/>
    <mergeCell ref="AN52:AP52"/>
    <mergeCell ref="AN48:AP48"/>
    <mergeCell ref="V63:Y63"/>
    <mergeCell ref="AB63:AG63"/>
    <mergeCell ref="AL59:AM59"/>
    <mergeCell ref="AR59:AS59"/>
    <mergeCell ref="AX59:AY59"/>
    <mergeCell ref="Z59:AA59"/>
    <mergeCell ref="AH61:AJ61"/>
    <mergeCell ref="AK61:AM61"/>
    <mergeCell ref="V56:Y56"/>
    <mergeCell ref="Z56:AA56"/>
    <mergeCell ref="AB56:AE56"/>
    <mergeCell ref="AF56:AG56"/>
    <mergeCell ref="Z63:AA63"/>
    <mergeCell ref="AF59:AG59"/>
  </mergeCells>
  <phoneticPr fontId="1"/>
  <dataValidations count="3">
    <dataValidation type="list" allowBlank="1" showInputMessage="1" showErrorMessage="1" sqref="AB56:AE56">
      <formula1>"0.147Mpa,0.196Mpa,0.245Mpa"</formula1>
    </dataValidation>
    <dataValidation type="list" allowBlank="1" showInputMessage="1" showErrorMessage="1" sqref="E19 E21 E23 E25 E27 E29 E31 E33 E35 E37 E39 E41 E43 E45 E47 E49 E51 E53">
      <formula1>"13,16,20,25,30,40,50,75,100,150,200"</formula1>
    </dataValidation>
    <dataValidation type="whole" allowBlank="1" showErrorMessage="1" error="整数のみ入力可能" sqref="U19 X19 AA19 AD19 AG19 AJ19 AM19 AP19 AS19 AV19 AY19 BB19 BE19 BH19 BK19 U21 X21 AA21 AD21 AG21 AJ21 AM21 AP21 AS21 AV21 AY21 BB21 BE21 BH21 BK21 BK23 BH23 BE23 BB23 AY23 AV23 AS23 AP23 AM23 AJ23 AG23 AD23 AA23 X23 U23 U25 X25 AA25 AD25 AG25 AJ25 AM25 AP25 AS25 AV25 AY25 BB25 BE25 BH25 BK25 BK27 BH27 BE27 BB27 AY27 AV27 AS27 AP27 AM27 AJ27 AG27 AD27 AA27 X27 U27 U29 X29 AA29 AD29 AG29 AJ29 AM29 AP29 AS29 AV29 AY29 BB29 BE29 BH29 BK29 BK31 BH31 BE31 BB31 AY31 AV31 AS31 AP31 AM31 AJ31 AG31 AD31 AA31 X31 U31 BK33 X33 AA33 AD33 AG33 AJ33 AM33 AP33 AS33 AV33 AY33 BB33 BE33 BH33 U33 U35 X35 AA35 AD35 AG35 AJ35 AM35 AP35 AS35 AV35 AY35 BB35 BE35 BH35 BK35 BK37 BH37 BE37 BB37 AY37 AV37 AS37 AP37 AM37 AJ37 AG37 AD37 AA37 X37 U37 U39 X39 AA39 AD39 AG39 AJ39 AM39 AP39 AS39 AV39 AY39 BB39 BE39 BH39 BK39 BK41 BH41 BE41 BB41 AY41 AV41 AS41 AP41 AM41 AJ41 AG41 AD41 AA41 X41 U41 U43 X43 AA43 AD43 AG43 AJ43 AM43 AP43 AS43 AV43 AY43 BB43 BE43 BH43 BK43 BK45 BH45 BE45 BB45 AY45 AV45 AS45 AP45 AM45 AJ45 AG45 AD45 AA45 X45 U45 U47 X47 AA47 AD47 AG47 AJ47 AM47 AP47 AS47 AV47 AY47 BB47 BE47 BH47 BK47 U49 X49 AA49 AD49 AG49 AJ49 AM49 AP49 AS49 AV49 AY49 BB49 BE49 BH49 BK49 BK51 BH51 BE51 BB51 AY51 AV51 AS51 AP51 AM51 AJ51 AG51 AD51 AA51 X51 U51 U53 X53 AA53 AD53 AG53 AJ53 AM53 AP53 AS53 AV53 AY53 BB53 BE53 BH53 BK53">
      <formula1>1</formula1>
      <formula2>100</formula2>
    </dataValidation>
  </dataValidations>
  <printOptions horizontalCentered="1" verticalCentered="1"/>
  <pageMargins left="0.23622047244094491" right="0.23622047244094491" top="0.74803149606299213" bottom="0.74803149606299213" header="0.31496062992125984" footer="0.31496062992125984"/>
  <pageSetup paperSize="8"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zoomScale="85" zoomScaleNormal="85" workbookViewId="0">
      <selection activeCell="N21" sqref="N21"/>
    </sheetView>
  </sheetViews>
  <sheetFormatPr defaultRowHeight="13.5" x14ac:dyDescent="0.15"/>
  <cols>
    <col min="2" max="2" width="8.75" style="2"/>
    <col min="3" max="3" width="5.5" style="2" bestFit="1" customWidth="1"/>
    <col min="4" max="5" width="6.75" style="2" bestFit="1" customWidth="1"/>
    <col min="6" max="6" width="8.375" style="2" bestFit="1" customWidth="1"/>
    <col min="7" max="7" width="7.875" style="2" customWidth="1"/>
    <col min="8" max="8" width="9.625" style="2" customWidth="1"/>
    <col min="9" max="10" width="4.75" style="2" bestFit="1" customWidth="1"/>
    <col min="11" max="11" width="4" style="2" bestFit="1" customWidth="1"/>
    <col min="12" max="12" width="7.625" style="2" bestFit="1" customWidth="1"/>
    <col min="13" max="16" width="8.375" style="2" bestFit="1" customWidth="1"/>
    <col min="17" max="17" width="7.625" style="2" bestFit="1" customWidth="1"/>
    <col min="18" max="18" width="4.75" bestFit="1" customWidth="1"/>
  </cols>
  <sheetData>
    <row r="1" spans="2:17" x14ac:dyDescent="0.15">
      <c r="B1" s="213" t="s">
        <v>30</v>
      </c>
      <c r="C1" s="213"/>
      <c r="D1" s="213"/>
      <c r="E1" s="213"/>
      <c r="F1" s="213"/>
      <c r="G1" s="213"/>
      <c r="H1" s="213"/>
      <c r="I1" s="213"/>
      <c r="J1" s="213"/>
      <c r="K1" s="213"/>
      <c r="L1" s="213"/>
    </row>
    <row r="2" spans="2:17" x14ac:dyDescent="0.15">
      <c r="B2" s="16" t="s">
        <v>43</v>
      </c>
      <c r="C2" s="16" t="s">
        <v>44</v>
      </c>
      <c r="D2" s="16" t="s">
        <v>45</v>
      </c>
      <c r="E2" s="16" t="s">
        <v>46</v>
      </c>
      <c r="F2" s="16" t="s">
        <v>47</v>
      </c>
      <c r="G2" s="16" t="s">
        <v>48</v>
      </c>
      <c r="H2" s="16" t="s">
        <v>49</v>
      </c>
      <c r="I2" s="16" t="s">
        <v>50</v>
      </c>
      <c r="J2" s="16" t="s">
        <v>51</v>
      </c>
      <c r="K2" s="16" t="s">
        <v>52</v>
      </c>
      <c r="L2" s="16" t="s">
        <v>53</v>
      </c>
      <c r="M2" s="16" t="s">
        <v>54</v>
      </c>
      <c r="N2" s="16" t="s">
        <v>55</v>
      </c>
      <c r="O2" s="16" t="s">
        <v>56</v>
      </c>
      <c r="P2" s="16" t="s">
        <v>57</v>
      </c>
      <c r="Q2" s="16" t="s">
        <v>69</v>
      </c>
    </row>
    <row r="3" spans="2:17" ht="42" x14ac:dyDescent="0.15">
      <c r="B3" s="17" t="s">
        <v>58</v>
      </c>
      <c r="C3" s="18" t="s">
        <v>42</v>
      </c>
      <c r="D3" s="18" t="s">
        <v>59</v>
      </c>
      <c r="E3" s="18" t="s">
        <v>60</v>
      </c>
      <c r="F3" s="18" t="s">
        <v>61</v>
      </c>
      <c r="G3" s="18" t="s">
        <v>62</v>
      </c>
      <c r="H3" s="17" t="s">
        <v>63</v>
      </c>
      <c r="I3" s="18" t="s">
        <v>64</v>
      </c>
      <c r="J3" s="18" t="s">
        <v>65</v>
      </c>
      <c r="K3" s="18" t="s">
        <v>34</v>
      </c>
      <c r="L3" s="18" t="s">
        <v>35</v>
      </c>
      <c r="M3" s="18" t="s">
        <v>36</v>
      </c>
      <c r="N3" s="18" t="s">
        <v>66</v>
      </c>
      <c r="O3" s="18" t="s">
        <v>67</v>
      </c>
      <c r="P3" s="18" t="s">
        <v>68</v>
      </c>
      <c r="Q3" s="18" t="s">
        <v>70</v>
      </c>
    </row>
    <row r="4" spans="2:17" x14ac:dyDescent="0.15">
      <c r="B4" s="19">
        <v>13</v>
      </c>
      <c r="C4" s="18">
        <v>3</v>
      </c>
      <c r="D4" s="18">
        <v>0.5</v>
      </c>
      <c r="E4" s="18">
        <v>1</v>
      </c>
      <c r="F4" s="18">
        <v>9.3000000000000007</v>
      </c>
      <c r="G4" s="18">
        <v>4.5</v>
      </c>
      <c r="H4" s="17">
        <v>3</v>
      </c>
      <c r="I4" s="18">
        <v>0.2</v>
      </c>
      <c r="J4" s="18">
        <v>3</v>
      </c>
      <c r="K4" s="18">
        <v>0.6</v>
      </c>
      <c r="L4" s="18">
        <v>0.4</v>
      </c>
      <c r="M4" s="18"/>
      <c r="N4" s="18"/>
      <c r="O4" s="18"/>
      <c r="P4" s="18"/>
      <c r="Q4" s="18">
        <v>0.5</v>
      </c>
    </row>
    <row r="5" spans="2:17" x14ac:dyDescent="0.15">
      <c r="B5" s="19">
        <v>16</v>
      </c>
      <c r="C5" s="18">
        <v>3</v>
      </c>
      <c r="D5" s="18">
        <v>0.5</v>
      </c>
      <c r="E5" s="18">
        <v>1</v>
      </c>
      <c r="F5" s="18">
        <v>9.3000000000000007</v>
      </c>
      <c r="G5" s="18">
        <v>4.5</v>
      </c>
      <c r="H5" s="17">
        <v>3</v>
      </c>
      <c r="I5" s="18">
        <v>0.2</v>
      </c>
      <c r="J5" s="18">
        <v>3</v>
      </c>
      <c r="K5" s="18">
        <v>0.6</v>
      </c>
      <c r="L5" s="18">
        <v>0.4</v>
      </c>
      <c r="M5" s="18"/>
      <c r="N5" s="18"/>
      <c r="O5" s="18"/>
      <c r="P5" s="18"/>
      <c r="Q5" s="18">
        <v>0.5</v>
      </c>
    </row>
    <row r="6" spans="2:17" x14ac:dyDescent="0.15">
      <c r="B6" s="19">
        <v>20</v>
      </c>
      <c r="C6" s="18">
        <v>8</v>
      </c>
      <c r="D6" s="18">
        <v>0.5</v>
      </c>
      <c r="E6" s="18">
        <v>1</v>
      </c>
      <c r="F6" s="18">
        <v>20.3</v>
      </c>
      <c r="G6" s="18">
        <v>6</v>
      </c>
      <c r="H6" s="17">
        <v>8</v>
      </c>
      <c r="I6" s="18">
        <v>0.2</v>
      </c>
      <c r="J6" s="18">
        <v>8</v>
      </c>
      <c r="K6" s="18">
        <v>0.8</v>
      </c>
      <c r="L6" s="18">
        <v>0.5</v>
      </c>
      <c r="M6" s="18"/>
      <c r="N6" s="18"/>
      <c r="O6" s="18"/>
      <c r="P6" s="18"/>
      <c r="Q6" s="18">
        <v>0.5</v>
      </c>
    </row>
    <row r="7" spans="2:17" x14ac:dyDescent="0.15">
      <c r="B7" s="19">
        <v>25</v>
      </c>
      <c r="C7" s="18">
        <v>8</v>
      </c>
      <c r="D7" s="18">
        <v>0.5</v>
      </c>
      <c r="E7" s="18">
        <v>1.5</v>
      </c>
      <c r="F7" s="18">
        <v>18.600000000000001</v>
      </c>
      <c r="G7" s="18">
        <v>7.5</v>
      </c>
      <c r="H7" s="17">
        <v>8</v>
      </c>
      <c r="I7" s="18">
        <v>0.3</v>
      </c>
      <c r="J7" s="18">
        <v>12</v>
      </c>
      <c r="K7" s="18">
        <v>0.9</v>
      </c>
      <c r="L7" s="18">
        <v>0.6</v>
      </c>
      <c r="M7" s="18"/>
      <c r="N7" s="18"/>
      <c r="O7" s="18"/>
      <c r="P7" s="18"/>
      <c r="Q7" s="18">
        <v>0.5</v>
      </c>
    </row>
    <row r="8" spans="2:17" x14ac:dyDescent="0.15">
      <c r="B8" s="19">
        <v>30</v>
      </c>
      <c r="C8" s="18"/>
      <c r="D8" s="18">
        <v>1</v>
      </c>
      <c r="E8" s="18">
        <v>2</v>
      </c>
      <c r="F8" s="18">
        <v>17.5</v>
      </c>
      <c r="G8" s="18">
        <v>10</v>
      </c>
      <c r="H8" s="17">
        <v>20</v>
      </c>
      <c r="I8" s="18">
        <v>0.3</v>
      </c>
      <c r="J8" s="18"/>
      <c r="K8" s="18">
        <v>1.2</v>
      </c>
      <c r="L8" s="18">
        <v>0.7</v>
      </c>
      <c r="M8" s="18"/>
      <c r="N8" s="18"/>
      <c r="O8" s="18"/>
      <c r="P8" s="18"/>
      <c r="Q8" s="18">
        <v>1</v>
      </c>
    </row>
    <row r="9" spans="2:17" x14ac:dyDescent="0.15">
      <c r="B9" s="19">
        <v>40</v>
      </c>
      <c r="C9" s="18"/>
      <c r="D9" s="18">
        <v>1</v>
      </c>
      <c r="E9" s="18">
        <v>2</v>
      </c>
      <c r="F9" s="18">
        <v>21.7</v>
      </c>
      <c r="G9" s="18">
        <v>11.8</v>
      </c>
      <c r="H9" s="17">
        <v>25</v>
      </c>
      <c r="I9" s="18">
        <v>0.4</v>
      </c>
      <c r="J9" s="18">
        <v>20</v>
      </c>
      <c r="K9" s="18">
        <v>1.5</v>
      </c>
      <c r="L9" s="18">
        <v>0.9</v>
      </c>
      <c r="M9" s="18"/>
      <c r="N9" s="18"/>
      <c r="O9" s="18"/>
      <c r="P9" s="18"/>
      <c r="Q9" s="18">
        <v>1</v>
      </c>
    </row>
    <row r="10" spans="2:17" x14ac:dyDescent="0.15">
      <c r="B10" s="19">
        <v>50</v>
      </c>
      <c r="C10" s="18"/>
      <c r="D10" s="18">
        <v>1</v>
      </c>
      <c r="E10" s="18">
        <v>3</v>
      </c>
      <c r="F10" s="18">
        <v>30.1</v>
      </c>
      <c r="G10" s="18">
        <v>13.3</v>
      </c>
      <c r="H10" s="17">
        <v>30</v>
      </c>
      <c r="I10" s="18">
        <v>0.5</v>
      </c>
      <c r="J10" s="18">
        <v>20</v>
      </c>
      <c r="K10" s="18">
        <v>2.1</v>
      </c>
      <c r="L10" s="18">
        <v>1.2</v>
      </c>
      <c r="M10" s="18"/>
      <c r="N10" s="18"/>
      <c r="O10" s="18"/>
      <c r="P10" s="18"/>
      <c r="Q10" s="18">
        <v>1</v>
      </c>
    </row>
    <row r="11" spans="2:17" x14ac:dyDescent="0.15">
      <c r="B11" s="19">
        <v>75</v>
      </c>
      <c r="C11" s="18"/>
      <c r="D11" s="18">
        <v>1</v>
      </c>
      <c r="E11" s="18">
        <v>4.5</v>
      </c>
      <c r="F11" s="18" t="s">
        <v>28</v>
      </c>
      <c r="G11" s="18" t="s">
        <v>28</v>
      </c>
      <c r="H11" s="17"/>
      <c r="I11" s="18">
        <v>0.6</v>
      </c>
      <c r="J11" s="18">
        <v>30</v>
      </c>
      <c r="K11" s="18">
        <v>3</v>
      </c>
      <c r="L11" s="18">
        <v>1.8</v>
      </c>
      <c r="M11" s="18">
        <v>1.5</v>
      </c>
      <c r="N11" s="18">
        <v>3</v>
      </c>
      <c r="O11" s="18"/>
      <c r="P11" s="18">
        <v>1.5</v>
      </c>
      <c r="Q11" s="18" t="s">
        <v>28</v>
      </c>
    </row>
    <row r="12" spans="2:17" x14ac:dyDescent="0.15">
      <c r="B12" s="19">
        <v>100</v>
      </c>
      <c r="C12" s="18"/>
      <c r="D12" s="18">
        <v>1.2</v>
      </c>
      <c r="E12" s="18">
        <v>6.5</v>
      </c>
      <c r="F12" s="18" t="s">
        <v>28</v>
      </c>
      <c r="G12" s="18" t="s">
        <v>28</v>
      </c>
      <c r="H12" s="17"/>
      <c r="I12" s="18">
        <v>0.8</v>
      </c>
      <c r="J12" s="18">
        <v>40</v>
      </c>
      <c r="K12" s="18">
        <v>4.2</v>
      </c>
      <c r="L12" s="18">
        <v>2.4</v>
      </c>
      <c r="M12" s="18">
        <v>2</v>
      </c>
      <c r="N12" s="18">
        <v>4</v>
      </c>
      <c r="O12" s="18">
        <v>1</v>
      </c>
      <c r="P12" s="18">
        <v>2</v>
      </c>
      <c r="Q12" s="18" t="s">
        <v>28</v>
      </c>
    </row>
    <row r="13" spans="2:17" x14ac:dyDescent="0.15">
      <c r="B13" s="19">
        <v>150</v>
      </c>
      <c r="C13" s="18"/>
      <c r="D13" s="18">
        <v>1.8</v>
      </c>
      <c r="E13" s="18">
        <v>9</v>
      </c>
      <c r="F13" s="18" t="s">
        <v>28</v>
      </c>
      <c r="G13" s="18" t="s">
        <v>28</v>
      </c>
      <c r="H13" s="17"/>
      <c r="I13" s="18">
        <v>1.2</v>
      </c>
      <c r="J13" s="18">
        <v>130</v>
      </c>
      <c r="K13" s="18">
        <v>6</v>
      </c>
      <c r="L13" s="18">
        <v>3.6</v>
      </c>
      <c r="M13" s="18">
        <v>3</v>
      </c>
      <c r="N13" s="18">
        <v>6</v>
      </c>
      <c r="O13" s="18">
        <v>1.5</v>
      </c>
      <c r="P13" s="18">
        <v>3</v>
      </c>
      <c r="Q13" s="18" t="s">
        <v>28</v>
      </c>
    </row>
    <row r="14" spans="2:17" x14ac:dyDescent="0.15">
      <c r="B14" s="19">
        <v>200</v>
      </c>
      <c r="C14" s="18"/>
      <c r="D14" s="18">
        <v>4</v>
      </c>
      <c r="E14" s="18">
        <v>14</v>
      </c>
      <c r="F14" s="18" t="s">
        <v>28</v>
      </c>
      <c r="G14" s="18" t="s">
        <v>28</v>
      </c>
      <c r="H14" s="17"/>
      <c r="I14" s="18">
        <v>1.4</v>
      </c>
      <c r="J14" s="18" t="s">
        <v>28</v>
      </c>
      <c r="K14" s="18">
        <v>6.5</v>
      </c>
      <c r="L14" s="18">
        <v>3.7</v>
      </c>
      <c r="M14" s="18">
        <v>4</v>
      </c>
      <c r="N14" s="18">
        <v>8</v>
      </c>
      <c r="O14" s="18">
        <v>2</v>
      </c>
      <c r="P14" s="18">
        <v>4</v>
      </c>
      <c r="Q14" s="18" t="s">
        <v>28</v>
      </c>
    </row>
    <row r="15" spans="2:17" x14ac:dyDescent="0.15">
      <c r="B15" s="214" t="s">
        <v>29</v>
      </c>
      <c r="C15" s="214"/>
      <c r="D15" s="214"/>
      <c r="E15" s="214"/>
      <c r="F15" s="214"/>
      <c r="G15" s="214"/>
      <c r="H15" s="214"/>
      <c r="I15" s="214"/>
      <c r="J15" s="214"/>
      <c r="K15" s="214"/>
      <c r="L15" s="214"/>
    </row>
    <row r="18" spans="2:12" x14ac:dyDescent="0.15">
      <c r="C18" s="25"/>
      <c r="D18" s="25"/>
      <c r="E18" s="25"/>
      <c r="F18" s="25"/>
      <c r="G18" s="25"/>
      <c r="H18" s="25"/>
      <c r="I18" s="25"/>
      <c r="J18" s="25"/>
    </row>
    <row r="19" spans="2:12" x14ac:dyDescent="0.15">
      <c r="B19" s="33" t="s">
        <v>79</v>
      </c>
      <c r="C19" s="33"/>
      <c r="D19" s="33"/>
      <c r="E19" s="33"/>
      <c r="F19" s="33"/>
      <c r="G19" s="40" t="s">
        <v>99</v>
      </c>
      <c r="H19" s="33"/>
      <c r="I19" s="33"/>
      <c r="J19" s="33"/>
      <c r="K19" s="33"/>
      <c r="L19" s="33"/>
    </row>
    <row r="20" spans="2:12" x14ac:dyDescent="0.15">
      <c r="B20" s="29" t="s">
        <v>77</v>
      </c>
      <c r="C20" s="29" t="s">
        <v>78</v>
      </c>
      <c r="G20" s="41" t="s">
        <v>100</v>
      </c>
      <c r="H20" s="215" t="s">
        <v>101</v>
      </c>
      <c r="I20" s="215"/>
      <c r="J20" s="25"/>
    </row>
    <row r="21" spans="2:12" x14ac:dyDescent="0.15">
      <c r="B21" s="29">
        <v>1</v>
      </c>
      <c r="C21" s="29">
        <v>1</v>
      </c>
      <c r="D21" s="25"/>
      <c r="E21" s="25"/>
      <c r="F21" s="25"/>
      <c r="G21" s="29" t="s">
        <v>103</v>
      </c>
      <c r="H21" s="29">
        <v>15</v>
      </c>
      <c r="I21" s="29" t="s">
        <v>104</v>
      </c>
      <c r="J21" s="25"/>
    </row>
    <row r="22" spans="2:12" x14ac:dyDescent="0.15">
      <c r="B22" s="29">
        <v>2</v>
      </c>
      <c r="C22" s="29">
        <v>1</v>
      </c>
      <c r="D22" s="25"/>
      <c r="E22" s="25"/>
      <c r="F22" s="25"/>
      <c r="G22" s="42" t="s">
        <v>98</v>
      </c>
      <c r="H22" s="29">
        <v>20</v>
      </c>
      <c r="I22" s="29" t="s">
        <v>104</v>
      </c>
      <c r="J22" s="25"/>
    </row>
    <row r="23" spans="2:12" x14ac:dyDescent="0.15">
      <c r="B23" s="29">
        <v>3</v>
      </c>
      <c r="C23" s="29">
        <v>1</v>
      </c>
      <c r="D23" s="25"/>
      <c r="E23" s="25"/>
      <c r="F23" s="25"/>
      <c r="G23" s="29" t="s">
        <v>102</v>
      </c>
      <c r="H23" s="29">
        <v>25</v>
      </c>
      <c r="I23" s="29" t="s">
        <v>104</v>
      </c>
      <c r="J23" s="25"/>
    </row>
    <row r="24" spans="2:12" x14ac:dyDescent="0.15">
      <c r="B24" s="29">
        <v>4</v>
      </c>
      <c r="C24" s="29">
        <v>0.9</v>
      </c>
    </row>
    <row r="25" spans="2:12" x14ac:dyDescent="0.15">
      <c r="B25" s="29">
        <v>5</v>
      </c>
      <c r="C25" s="29">
        <v>0.9</v>
      </c>
    </row>
    <row r="26" spans="2:12" x14ac:dyDescent="0.15">
      <c r="B26" s="29">
        <v>6</v>
      </c>
      <c r="C26" s="29">
        <v>0.9</v>
      </c>
    </row>
    <row r="27" spans="2:12" x14ac:dyDescent="0.15">
      <c r="B27" s="29">
        <v>7</v>
      </c>
      <c r="C27" s="29">
        <v>0.9</v>
      </c>
    </row>
    <row r="28" spans="2:12" x14ac:dyDescent="0.15">
      <c r="B28" s="29">
        <v>8</v>
      </c>
      <c r="C28" s="29">
        <v>0.9</v>
      </c>
    </row>
    <row r="29" spans="2:12" x14ac:dyDescent="0.15">
      <c r="B29" s="29">
        <v>9</v>
      </c>
      <c r="C29" s="29">
        <v>0.9</v>
      </c>
    </row>
    <row r="30" spans="2:12" x14ac:dyDescent="0.15">
      <c r="B30" s="29">
        <v>10</v>
      </c>
      <c r="C30" s="29">
        <v>0.9</v>
      </c>
    </row>
    <row r="31" spans="2:12" x14ac:dyDescent="0.15">
      <c r="B31" s="29">
        <v>11</v>
      </c>
      <c r="C31" s="29">
        <v>0.8</v>
      </c>
    </row>
    <row r="32" spans="2:12" x14ac:dyDescent="0.15">
      <c r="B32" s="29">
        <v>12</v>
      </c>
      <c r="C32" s="29">
        <v>0.8</v>
      </c>
    </row>
    <row r="33" spans="2:3" x14ac:dyDescent="0.15">
      <c r="B33" s="29">
        <v>13</v>
      </c>
      <c r="C33" s="29">
        <v>0.8</v>
      </c>
    </row>
    <row r="34" spans="2:3" x14ac:dyDescent="0.15">
      <c r="B34" s="29">
        <v>14</v>
      </c>
      <c r="C34" s="29">
        <v>0.8</v>
      </c>
    </row>
    <row r="35" spans="2:3" x14ac:dyDescent="0.15">
      <c r="B35" s="29">
        <v>15</v>
      </c>
      <c r="C35" s="29">
        <v>0.8</v>
      </c>
    </row>
    <row r="36" spans="2:3" x14ac:dyDescent="0.15">
      <c r="B36" s="29">
        <v>16</v>
      </c>
      <c r="C36" s="29">
        <v>0.8</v>
      </c>
    </row>
    <row r="37" spans="2:3" x14ac:dyDescent="0.15">
      <c r="B37" s="29">
        <v>17</v>
      </c>
      <c r="C37" s="29">
        <v>0.8</v>
      </c>
    </row>
    <row r="38" spans="2:3" x14ac:dyDescent="0.15">
      <c r="B38" s="29">
        <v>18</v>
      </c>
      <c r="C38" s="29">
        <v>0.8</v>
      </c>
    </row>
    <row r="39" spans="2:3" x14ac:dyDescent="0.15">
      <c r="B39" s="29">
        <v>19</v>
      </c>
      <c r="C39" s="29">
        <v>0.8</v>
      </c>
    </row>
    <row r="40" spans="2:3" x14ac:dyDescent="0.15">
      <c r="B40" s="29">
        <v>20</v>
      </c>
      <c r="C40" s="29">
        <v>0.8</v>
      </c>
    </row>
    <row r="41" spans="2:3" x14ac:dyDescent="0.15">
      <c r="B41" s="29">
        <v>21</v>
      </c>
      <c r="C41" s="29">
        <v>0.7</v>
      </c>
    </row>
    <row r="42" spans="2:3" x14ac:dyDescent="0.15">
      <c r="B42" s="29">
        <v>22</v>
      </c>
      <c r="C42" s="29">
        <v>0.7</v>
      </c>
    </row>
    <row r="43" spans="2:3" x14ac:dyDescent="0.15">
      <c r="B43" s="29">
        <v>23</v>
      </c>
      <c r="C43" s="29">
        <v>0.7</v>
      </c>
    </row>
    <row r="44" spans="2:3" x14ac:dyDescent="0.15">
      <c r="B44" s="29">
        <v>24</v>
      </c>
      <c r="C44" s="29">
        <v>0.7</v>
      </c>
    </row>
    <row r="45" spans="2:3" x14ac:dyDescent="0.15">
      <c r="B45" s="29">
        <v>25</v>
      </c>
      <c r="C45" s="29">
        <v>0.7</v>
      </c>
    </row>
    <row r="46" spans="2:3" x14ac:dyDescent="0.15">
      <c r="B46" s="29">
        <v>26</v>
      </c>
      <c r="C46" s="29">
        <v>0.7</v>
      </c>
    </row>
    <row r="47" spans="2:3" x14ac:dyDescent="0.15">
      <c r="B47" s="29">
        <v>27</v>
      </c>
      <c r="C47" s="29">
        <v>0.7</v>
      </c>
    </row>
    <row r="48" spans="2:3" x14ac:dyDescent="0.15">
      <c r="B48" s="29">
        <v>28</v>
      </c>
      <c r="C48" s="29">
        <v>0.7</v>
      </c>
    </row>
    <row r="49" spans="2:3" x14ac:dyDescent="0.15">
      <c r="B49" s="29">
        <v>29</v>
      </c>
      <c r="C49" s="29">
        <v>0.7</v>
      </c>
    </row>
    <row r="50" spans="2:3" x14ac:dyDescent="0.15">
      <c r="B50" s="29">
        <v>30</v>
      </c>
      <c r="C50" s="29">
        <v>0.7</v>
      </c>
    </row>
  </sheetData>
  <sheetProtection algorithmName="SHA-512" hashValue="nHYmjKdQzo3Ezjyd/QyL13b90TOtlZNgzn507wWUN9KiFOt7LzudRJsdwM9zZOxN7qIAS3ofLTnR3KImPllmeA==" saltValue="A+3hhoW59uzHaq6oByoPQQ==" spinCount="100000" sheet="1" objects="1" scenarios="1"/>
  <mergeCells count="3">
    <mergeCell ref="B1:L1"/>
    <mergeCell ref="B15:L15"/>
    <mergeCell ref="H20:I20"/>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説明</vt:lpstr>
      <vt:lpstr>様式第9号(ウェストン公式+へーゼン公式)</vt:lpstr>
      <vt:lpstr>データ</vt:lpstr>
      <vt:lpstr>説明!Print_Area</vt:lpstr>
      <vt:lpstr>'様式第9号(ウェストン公式+へーゼン公式)'!Print_Area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OKYAKU</dc:creator>
  <cp:lastModifiedBy>Windows ユーザー</cp:lastModifiedBy>
  <cp:lastPrinted>2021-12-02T06:26:37Z</cp:lastPrinted>
  <dcterms:created xsi:type="dcterms:W3CDTF">2014-07-03T03:56:14Z</dcterms:created>
  <dcterms:modified xsi:type="dcterms:W3CDTF">2021-12-02T06:45:01Z</dcterms:modified>
</cp:coreProperties>
</file>